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kyzpg99F6KK6aUbk/AfOHpq1Ldoh4ZdXP3kASquyD/2YbSzFSBNsT75O/P10UYjwCAXqYME8XgfR/5XAkeJvg==" workbookSaltValue="M0jT9P2dXXAHi9pt0bfzh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AY14" i="8"/>
  <c r="BF9" i="8"/>
  <c r="C30" i="7"/>
  <c r="AO14" i="21"/>
  <c r="AP14" i="16"/>
  <c r="T23" i="17"/>
  <c r="T26" i="17" s="1"/>
  <c r="T30" i="17" s="1"/>
  <c r="BE17" i="13"/>
  <c r="X32" i="20"/>
  <c r="G30" i="14"/>
  <c r="G23" i="14"/>
  <c r="BD11" i="13" l="1"/>
  <c r="AS14" i="8"/>
  <c r="H13" i="10"/>
  <c r="BF17" i="8"/>
  <c r="BD12" i="8"/>
  <c r="BG16" i="8"/>
  <c r="K16" i="7" s="1"/>
  <c r="B16" i="6"/>
  <c r="BD16" i="13"/>
  <c r="BG17" i="13"/>
  <c r="BE16" i="13"/>
  <c r="BD17" i="13"/>
  <c r="R8" i="9"/>
  <c r="AA28" i="16" s="1"/>
  <c r="X18" i="17"/>
  <c r="V12" i="16"/>
  <c r="S12" i="14"/>
  <c r="V12" i="14" s="1"/>
  <c r="R10" i="14"/>
  <c r="R25" i="14"/>
  <c r="T21" i="11"/>
  <c r="T9" i="11"/>
  <c r="T20" i="11"/>
  <c r="X12" i="17"/>
  <c r="X22" i="20"/>
  <c r="V18" i="16"/>
  <c r="L11" i="2"/>
  <c r="X16" i="16"/>
  <c r="X23" i="16" s="1"/>
  <c r="BF23" i="19"/>
  <c r="BF9" i="13"/>
  <c r="BB14" i="13"/>
  <c r="BF20" i="8"/>
  <c r="B23" i="7"/>
  <c r="AP11" i="11"/>
  <c r="Y11" i="11"/>
  <c r="F9" i="2"/>
  <c r="E28" i="3"/>
  <c r="G22" i="3"/>
  <c r="G20" i="3"/>
  <c r="G18" i="3"/>
  <c r="G16" i="3"/>
  <c r="I11" i="3"/>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C30" i="2"/>
  <c r="D30" i="2" s="1"/>
  <c r="AL18" i="11"/>
  <c r="BI18" i="16"/>
  <c r="B29" i="6"/>
  <c r="AN9" i="11"/>
  <c r="K9" i="7"/>
  <c r="AO11" i="11"/>
  <c r="AL9" i="11"/>
  <c r="H12" i="2"/>
  <c r="H10" i="2"/>
  <c r="BD26" i="19"/>
  <c r="AB14" i="21"/>
  <c r="AB31" i="21" s="1"/>
  <c r="AE14" i="21"/>
  <c r="AE31" i="21" s="1"/>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N13" i="11"/>
  <c r="B21" i="6"/>
  <c r="J12" i="2"/>
  <c r="H9" i="2"/>
  <c r="D19" i="6"/>
  <c r="BI17" i="16"/>
  <c r="L11" i="14"/>
  <c r="E20" i="6"/>
  <c r="H16" i="2"/>
  <c r="T10" i="21"/>
  <c r="BD23" i="19"/>
  <c r="BB31" i="19"/>
  <c r="BE30" i="19"/>
  <c r="AT26"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G14" i="2"/>
  <c r="D12" i="2"/>
  <c r="AO12" i="11"/>
  <c r="E12" i="6"/>
  <c r="D10" i="2"/>
  <c r="AO10" i="11"/>
  <c r="E10" i="6"/>
  <c r="L13" i="14"/>
  <c r="J13" i="2"/>
  <c r="D19" i="2"/>
  <c r="AO19" i="11"/>
  <c r="C23" i="2"/>
  <c r="D23" i="2" s="1"/>
  <c r="H16"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J9" i="2"/>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O9" i="17" l="1"/>
  <c r="AM13" i="11"/>
  <c r="AP14" i="21"/>
  <c r="AM12" i="11"/>
  <c r="AP30" i="20"/>
  <c r="AM21" i="11"/>
  <c r="K9" i="12"/>
  <c r="S28" i="17"/>
  <c r="AM19" i="11"/>
  <c r="AP23" i="20"/>
  <c r="AP30" i="21"/>
  <c r="X14" i="20"/>
  <c r="AM17" i="11"/>
  <c r="U13" i="17"/>
  <c r="V21" i="16"/>
  <c r="V12" i="21"/>
  <c r="X9" i="17"/>
  <c r="AA10" i="16"/>
  <c r="S16" i="14"/>
  <c r="V16" i="14" s="1"/>
  <c r="T29" i="11"/>
  <c r="AM9" i="11"/>
  <c r="R17" i="14"/>
  <c r="S17" i="14"/>
  <c r="V17" i="14" s="1"/>
  <c r="X25" i="16"/>
  <c r="X30" i="16" s="1"/>
  <c r="X20" i="20"/>
  <c r="X22" i="17"/>
  <c r="T19" i="20"/>
  <c r="V16" i="16"/>
  <c r="X18" i="20"/>
  <c r="X10" i="17"/>
  <c r="X12" i="21"/>
  <c r="AP17" i="20"/>
  <c r="BH9" i="16"/>
  <c r="BL19" i="11"/>
  <c r="V16" i="11"/>
  <c r="BJ22" i="11"/>
  <c r="BF13" i="11"/>
  <c r="BJ18" i="11"/>
  <c r="BG25" i="11"/>
  <c r="BG10" i="11"/>
  <c r="BH16" i="16"/>
  <c r="BM17" i="11"/>
  <c r="Q18" i="20"/>
  <c r="Q23" i="20" s="1"/>
  <c r="V11" i="16"/>
  <c r="BF28" i="11"/>
  <c r="BF21" i="11"/>
  <c r="BF18" i="11"/>
  <c r="BF23" i="11" s="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Q29" i="11" s="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W33" i="20" s="1"/>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AP26" i="21"/>
  <c r="AP18" i="20"/>
  <c r="BG21" i="11"/>
  <c r="BU25" i="17"/>
  <c r="BV28" i="16"/>
  <c r="BV13" i="16"/>
  <c r="BW13" i="20"/>
  <c r="BV21" i="16"/>
  <c r="BU29" i="17"/>
  <c r="BV11" i="16"/>
  <c r="BW16" i="20"/>
  <c r="BU20" i="17"/>
  <c r="U10" i="17"/>
  <c r="BW29" i="20"/>
  <c r="BV10" i="16"/>
  <c r="BV14" i="16" s="1"/>
  <c r="BW22" i="20"/>
  <c r="BU18" i="17"/>
  <c r="BV29" i="16"/>
  <c r="S11" i="17"/>
  <c r="BU17" i="17"/>
  <c r="BV20" i="16"/>
  <c r="AZ22" i="11"/>
  <c r="AA20" i="16"/>
  <c r="R28" i="14"/>
  <c r="AZ17" i="11"/>
  <c r="X16" i="17"/>
  <c r="BF20" i="11"/>
  <c r="T17" i="11"/>
  <c r="S16" i="16"/>
  <c r="P16" i="17"/>
  <c r="BL20" i="11"/>
  <c r="Q20" i="11" s="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T28" i="11"/>
  <c r="T19" i="11"/>
  <c r="R22" i="14"/>
  <c r="R23" i="14" s="1"/>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BE14" i="8"/>
  <c r="Q21"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AX32" i="21"/>
  <c r="BP32" i="16"/>
  <c r="K32" i="20"/>
  <c r="O12" i="11"/>
  <c r="H32" i="17"/>
  <c r="AW32" i="11"/>
  <c r="AV32" i="21"/>
  <c r="AQ17" i="11" l="1"/>
  <c r="Q17" i="11"/>
  <c r="BJ23" i="11"/>
  <c r="Q25" i="11"/>
  <c r="BV23" i="16"/>
  <c r="BV26" i="16" s="1"/>
  <c r="BV30" i="16" s="1"/>
  <c r="P29" i="11"/>
  <c r="P21" i="11"/>
  <c r="BK23" i="11"/>
  <c r="Q9" i="11"/>
  <c r="AZ14" i="11"/>
  <c r="AZ31" i="11"/>
  <c r="S30" i="14"/>
  <c r="S14" i="14"/>
  <c r="BI23" i="11"/>
  <c r="P9" i="11"/>
  <c r="U14" i="17"/>
  <c r="Q31" i="20"/>
  <c r="P20" i="11"/>
  <c r="Q23" i="17"/>
  <c r="Q31" i="17" s="1"/>
  <c r="P23" i="17"/>
  <c r="P31" i="17" s="1"/>
  <c r="P13" i="11"/>
  <c r="Q13" i="11"/>
  <c r="BK14" i="11"/>
  <c r="BK31" i="11" s="1"/>
  <c r="AZ26"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<sst xmlns="http://schemas.openxmlformats.org/spreadsheetml/2006/main" count="2682" uniqueCount="1193">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</sst>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vkLqgy/fEfiuMbOcyeC3H8nJ91XwXlnoosFZUS78jxxYp+1NWjHQ6hIHipegtMLXcYfg2B4e7wbCaGyG0uOJQ==" saltValue="R5ZuJl6TTXGJ/RkqKNap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12</v>
      </c>
      <c r="F10" s="240">
        <f>IF(ISNUMBER(Datos!K10),Datos!K10," - ")</f>
        <v>12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1.8333333333333333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8.85089974293059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12</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279</v>
      </c>
      <c r="D17" s="239">
        <f>IF(ISNUMBER(IF(D_I="SI",Datos!I17,Datos!I17+Datos!AC17)),IF(D_I="SI",Datos!I17,Datos!I17+Datos!AC17)," - ")</f>
        <v>366</v>
      </c>
      <c r="E17" s="240">
        <f>IF(ISNUMBER(IF(D_I="SI",Datos!J17,Datos!J17+Datos!AD17)),IF(D_I="SI",Datos!J17,Datos!J17+Datos!AD17)," - ")</f>
        <v>1059</v>
      </c>
      <c r="F17" s="240">
        <f>IF(ISNUMBER(IF(D_I="SI",Datos!K17,Datos!K17+Datos!AE17)),IF(D_I="SI",Datos!K17,Datos!K17+Datos!AE17)," - ")</f>
        <v>1066</v>
      </c>
      <c r="G17" s="1390" t="str">
        <f>IF(Datos!E17&lt;&gt;"",Datos!E17,Datos!D17)</f>
        <v>04</v>
      </c>
      <c r="H17" s="241">
        <f>IF(ISNUMBER(IF(D_I="SI",Datos!L17,Datos!L17+Datos!AF17)),IF(D_I="SI",Datos!L17,Datos!L17+Datos!AF17)," - ")</f>
        <v>272</v>
      </c>
      <c r="I17" s="1400" t="str">
        <f>IF(ISNUMBER(Datos!AS17/Datos!BM17),Datos!AS17/Datos!BM17," - ")</f>
        <v xml:space="preserve"> - </v>
      </c>
      <c r="J17" s="1401">
        <f>IF(ISNUMBER(Datos!BY17/Datos!CN17),Datos!BY17/Datos!CN17," - ")</f>
        <v>0</v>
      </c>
      <c r="K17" s="244">
        <f t="shared" si="3"/>
        <v>-2.5089605734767026E-2</v>
      </c>
      <c r="L17" s="1402">
        <f>IF(ISNUMBER(NºAsuntos!I17/NºAsuntos!G17),(NºAsuntos!I17/NºAsuntos!G17)*11," - ")</f>
        <v>2.8067542213883674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55</v>
      </c>
      <c r="E18" s="240">
        <f>IF(ISNUMBER(IF(D_I="SI",Datos!J18,Datos!J18+Datos!AD18)),IF(D_I="SI",Datos!J18,Datos!J18+Datos!AD18)," - ")</f>
        <v>150</v>
      </c>
      <c r="F18" s="240">
        <f>IF(ISNUMBER(IF(D_I="SI",Datos!K18,Datos!K18+Datos!AE18)),IF(D_I="SI",Datos!K18,Datos!K18+Datos!AE18)," - ")</f>
        <v>159</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3.1132075471698113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333</v>
      </c>
      <c r="D23" s="1407">
        <f>SUBTOTAL(9,D16:D22)</f>
        <v>421</v>
      </c>
      <c r="E23" s="1408">
        <f>SUBTOTAL(9,E16:E22)</f>
        <v>1209</v>
      </c>
      <c r="F23" s="1408">
        <f>SUBTOTAL(9,F16:F22)</f>
        <v>1225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335</v>
      </c>
      <c r="D31" s="1435">
        <f>SUBTOTAL(9,D9:D30)</f>
        <v>423</v>
      </c>
      <c r="E31" s="1436">
        <f>SUBTOTAL(9,E9:E30)</f>
        <v>1221</v>
      </c>
      <c r="F31" s="1436">
        <f>SUBTOTAL(9,F9:F30)</f>
        <v>1237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DWvBn1lHgWmyG7zeL502fk9ChWWJROpcwPyTnghPWkTiOSvwtAYhQaOJgNqexI0ccGKHTZM3NowXotTZQHV/g==" saltValue="rjT9s9dntZA/CNFkykgai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YYI2rfPsmGTyR0gPpdEvUr7d8HUy2ojYWP9Y4I9Q0DJ2jK2kFKGfVuCtgrrpDU9Op+atUW0USdxh1kPi3FzxA==" saltValue="kIGt4vZdfU0yXw9yA1oH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12</v>
      </c>
      <c r="K10" s="194">
        <v>12</v>
      </c>
      <c r="L10" s="194">
        <v>2</v>
      </c>
      <c r="M10" s="194">
        <v>7</v>
      </c>
      <c r="N10" s="194">
        <v>1</v>
      </c>
      <c r="O10" s="194">
        <v>1</v>
      </c>
      <c r="P10" s="194">
        <v>0</v>
      </c>
      <c r="Q10" s="194">
        <v>0</v>
      </c>
      <c r="R10" s="194">
        <v>0</v>
      </c>
      <c r="S10" s="194">
        <v>8</v>
      </c>
      <c r="T10" s="194">
        <v>6</v>
      </c>
      <c r="U10" s="194">
        <v>12</v>
      </c>
      <c r="V10" s="194">
        <v>2</v>
      </c>
      <c r="W10" s="194">
        <v>10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6</v>
      </c>
      <c r="BA10" s="139">
        <f t="shared" si="0"/>
        <v>12</v>
      </c>
      <c r="BB10" s="139">
        <f t="shared" si="0"/>
        <v>2</v>
      </c>
      <c r="BC10" s="135">
        <f t="shared" si="0"/>
        <v>10</v>
      </c>
      <c r="BD10" s="136">
        <f>IF(ISNUMBER(BA10/AZ10),BA10/AZ10," - ")</f>
        <v>2</v>
      </c>
      <c r="BE10" s="137">
        <f>IF(ISNUMBER(BB10/BA10),BB10/BA10, " - ")</f>
        <v>0.16666666666666666</v>
      </c>
      <c r="BF10" s="137">
        <f>IF(ISNUMBER(BC10/BA10),BC10/BA10, " - ")</f>
        <v>0.83333333333333337</v>
      </c>
      <c r="BG10" s="209">
        <f>IF(ISNUMBER((AY10+AZ10)/BA10),(AY10+AZ10)/BA10," - ")</f>
        <v>1.1666666666666667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847</v>
      </c>
      <c r="J12" s="196">
        <v>1197</v>
      </c>
      <c r="K12" s="196">
        <v>1001</v>
      </c>
      <c r="L12" s="196">
        <v>899</v>
      </c>
      <c r="M12" s="196">
        <v>176</v>
      </c>
      <c r="N12" s="196">
        <v>376</v>
      </c>
      <c r="O12" s="194">
        <v>647</v>
      </c>
      <c r="P12" s="196">
        <v>332</v>
      </c>
      <c r="Q12" s="196">
        <v>261</v>
      </c>
      <c r="R12" s="196">
        <v>1404</v>
      </c>
      <c r="S12" s="196">
        <v>896</v>
      </c>
      <c r="T12" s="196">
        <v>1001</v>
      </c>
      <c r="U12" s="196">
        <v>1032</v>
      </c>
      <c r="V12" s="196">
        <v>847</v>
      </c>
      <c r="W12" s="196">
        <v>266</v>
      </c>
      <c r="X12" s="202">
        <v>445</v>
      </c>
      <c r="Y12" s="204">
        <v>58</v>
      </c>
      <c r="Z12" s="194">
        <v>148</v>
      </c>
      <c r="AA12" s="194">
        <v>166</v>
      </c>
      <c r="AB12" s="194">
        <v>40</v>
      </c>
      <c r="AC12" s="196">
        <v>0</v>
      </c>
      <c r="AD12" s="196">
        <v>0</v>
      </c>
      <c r="AE12" s="196">
        <v>0</v>
      </c>
      <c r="AF12" s="202">
        <v>0</v>
      </c>
      <c r="AG12" s="215">
        <v>25</v>
      </c>
      <c r="AH12" s="196">
        <v>146</v>
      </c>
      <c r="AI12" s="196">
        <v>113</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921</v>
      </c>
      <c r="AZ12" s="137">
        <f t="shared" si="1"/>
        <v>1147</v>
      </c>
      <c r="BA12" s="137">
        <f t="shared" si="1"/>
        <v>1145</v>
      </c>
      <c r="BB12" s="137">
        <f t="shared" si="1"/>
        <v>905</v>
      </c>
      <c r="BC12" s="135">
        <f>IF(ISNUMBER(X12),X12," - ")</f>
        <v>445</v>
      </c>
      <c r="BD12" s="136">
        <f t="shared" si="2"/>
        <v>0.99825632083696603</v>
      </c>
      <c r="BE12" s="137">
        <f t="shared" si="3"/>
        <v>0.79039301310043664</v>
      </c>
      <c r="BF12" s="137">
        <f t="shared" si="4"/>
        <v>0.388646288209607</v>
      </c>
      <c r="BG12" s="209">
        <f t="shared" si="5"/>
        <v>1.806113537117904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849</v>
      </c>
      <c r="J14" s="197">
        <f t="shared" si="7"/>
        <v>1209</v>
      </c>
      <c r="K14" s="197">
        <f t="shared" si="7"/>
        <v>1013</v>
      </c>
      <c r="L14" s="197">
        <f t="shared" si="7"/>
        <v>901</v>
      </c>
      <c r="M14" s="197">
        <f t="shared" si="7"/>
        <v>183</v>
      </c>
      <c r="N14" s="197">
        <f t="shared" si="7"/>
        <v>377</v>
      </c>
      <c r="O14" s="197">
        <f t="shared" si="7"/>
        <v>648</v>
      </c>
      <c r="P14" s="197">
        <f t="shared" si="7"/>
        <v>332</v>
      </c>
      <c r="Q14" s="197">
        <f t="shared" si="7"/>
        <v>261</v>
      </c>
      <c r="R14" s="197">
        <f t="shared" si="7"/>
        <v>1404</v>
      </c>
      <c r="S14" s="197">
        <f t="shared" si="7"/>
        <v>904</v>
      </c>
      <c r="T14" s="197">
        <f t="shared" si="7"/>
        <v>1007</v>
      </c>
      <c r="U14" s="197">
        <f t="shared" si="7"/>
        <v>1044</v>
      </c>
      <c r="V14" s="197">
        <f t="shared" si="7"/>
        <v>849</v>
      </c>
      <c r="W14" s="197">
        <f t="shared" si="7"/>
        <v>276</v>
      </c>
      <c r="X14" s="197">
        <f t="shared" si="7"/>
        <v>447</v>
      </c>
      <c r="Y14" s="197">
        <f t="shared" si="7"/>
        <v>58</v>
      </c>
      <c r="Z14" s="197">
        <f t="shared" si="7"/>
        <v>148</v>
      </c>
      <c r="AA14" s="197">
        <f t="shared" si="7"/>
        <v>166</v>
      </c>
      <c r="AB14" s="197">
        <f t="shared" si="7"/>
        <v>40</v>
      </c>
      <c r="AC14" s="197">
        <f t="shared" si="7"/>
        <v>0</v>
      </c>
      <c r="AD14" s="197">
        <f t="shared" si="7"/>
        <v>0</v>
      </c>
      <c r="AE14" s="197">
        <f t="shared" si="7"/>
        <v>0</v>
      </c>
      <c r="AF14" s="197">
        <f>SUBTOTAL(9,AF9:AF13)</f>
        <v>0</v>
      </c>
      <c r="AG14" s="197">
        <f t="shared" ref="AG14:AT14" si="8">SUBTOTAL(9,AG8:AG13)</f>
        <v>25</v>
      </c>
      <c r="AH14" s="197">
        <f t="shared" si="8"/>
        <v>146</v>
      </c>
      <c r="AI14" s="197">
        <f t="shared" si="8"/>
        <v>113</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929</v>
      </c>
      <c r="AZ14" s="197">
        <f>SUBTOTAL(9,AZ8:AZ13)</f>
        <v>1153</v>
      </c>
      <c r="BA14" s="197">
        <f>SUBTOTAL(9,BA8:BA13)</f>
        <v>1157</v>
      </c>
      <c r="BB14" s="197">
        <f>SUBTOTAL(9,BB8:BB13)</f>
        <v>907</v>
      </c>
      <c r="BC14" s="197">
        <f>SUBTOTAL(9,BC8:BC13)</f>
        <v>455</v>
      </c>
      <c r="BD14" s="219">
        <f>IF(ISNUMBER(BA14/AZ14),BA14/AZ14," - ")</f>
        <v>1.0034692107545533</v>
      </c>
      <c r="BE14" s="220">
        <f>IF(ISNUMBER(BB14/BA14),BB14/BA14, " - ")</f>
        <v>0.78392394122731202</v>
      </c>
      <c r="BF14" s="220">
        <f>IF(ISNUMBER(BC14/BA14),BC14/BA14, " - ")</f>
        <v>0.39325842696629215</v>
      </c>
      <c r="BG14" s="221">
        <f>IF(ISNUMBER((AY14+AZ14)/BA14),(AY14+AZ14)/BA14," - ")</f>
        <v>1.7994814174589455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366</v>
      </c>
      <c r="J17" s="196">
        <v>1059</v>
      </c>
      <c r="K17" s="196">
        <v>1066</v>
      </c>
      <c r="L17" s="196">
        <v>272</v>
      </c>
      <c r="M17" s="196">
        <v>119</v>
      </c>
      <c r="N17" s="196">
        <v>656</v>
      </c>
      <c r="O17" s="194">
        <v>11</v>
      </c>
      <c r="P17" s="196">
        <v>40</v>
      </c>
      <c r="Q17" s="196">
        <v>42</v>
      </c>
      <c r="R17" s="196">
        <v>54</v>
      </c>
      <c r="S17" s="196">
        <v>387</v>
      </c>
      <c r="T17" s="196">
        <v>1014</v>
      </c>
      <c r="U17" s="196">
        <v>1035</v>
      </c>
      <c r="V17" s="196">
        <v>366</v>
      </c>
      <c r="W17" s="196">
        <v>154</v>
      </c>
      <c r="X17" s="202">
        <v>643</v>
      </c>
      <c r="Y17" s="215">
        <v>0</v>
      </c>
      <c r="Z17" s="196">
        <v>0</v>
      </c>
      <c r="AA17" s="196">
        <v>0</v>
      </c>
      <c r="AB17" s="196">
        <v>0</v>
      </c>
      <c r="AC17" s="196">
        <v>0</v>
      </c>
      <c r="AD17" s="196">
        <v>15</v>
      </c>
      <c r="AE17" s="196">
        <v>15</v>
      </c>
      <c r="AF17" s="202">
        <v>0</v>
      </c>
      <c r="AG17" s="215">
        <v>0</v>
      </c>
      <c r="AH17" s="196">
        <v>0</v>
      </c>
      <c r="AI17" s="196">
        <v>0</v>
      </c>
      <c r="AJ17" s="216">
        <v>0</v>
      </c>
      <c r="AK17" s="195">
        <v>0</v>
      </c>
      <c r="AL17" s="196">
        <v>11</v>
      </c>
      <c r="AM17" s="196">
        <v>11</v>
      </c>
      <c r="AN17" s="202">
        <v>0</v>
      </c>
      <c r="AO17" s="283">
        <v>2</v>
      </c>
      <c r="AP17" s="168">
        <v>2</v>
      </c>
      <c r="AQ17" s="168">
        <v>2</v>
      </c>
      <c r="AR17" s="168">
        <v>2</v>
      </c>
      <c r="AS17" s="381" t="s">
        <v>650</v>
      </c>
      <c r="AT17" s="216"/>
      <c r="AU17" s="215"/>
      <c r="AV17" s="216"/>
      <c r="AW17" s="215"/>
      <c r="AX17" s="216"/>
      <c r="AY17" s="136">
        <f t="shared" si="10"/>
        <v>387</v>
      </c>
      <c r="AZ17" s="137">
        <f t="shared" si="10"/>
        <v>1014</v>
      </c>
      <c r="BA17" s="137">
        <f t="shared" si="10"/>
        <v>1035</v>
      </c>
      <c r="BB17" s="137">
        <f t="shared" si="10"/>
        <v>366</v>
      </c>
      <c r="BC17" s="135">
        <f>IF(ISNUMBER(W17),W17," - ")</f>
        <v>154</v>
      </c>
      <c r="BD17" s="136">
        <f t="shared" ref="BD17:BD22" si="12">IF(ISNUMBER(BA17/AZ17),BA17/AZ17," - ")</f>
        <v>1.0207100591715976</v>
      </c>
      <c r="BE17" s="137">
        <f t="shared" ref="BE17:BE22" si="13">IF(ISNUMBER(BB17/BA17),BB17/BA17, " - ")</f>
        <v>0.3536231884057971</v>
      </c>
      <c r="BF17" s="137">
        <f t="shared" ref="BF17:BF22" si="14">IF(ISNUMBER(BC17/BA17),BC17/BA17, " - ")</f>
        <v>0.14879227053140096</v>
      </c>
      <c r="BG17" s="209">
        <f t="shared" si="11"/>
        <v>1.3536231884057972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150</v>
      </c>
      <c r="K18" s="196">
        <v>159</v>
      </c>
      <c r="L18" s="196">
        <v>45</v>
      </c>
      <c r="M18" s="196">
        <v>8</v>
      </c>
      <c r="N18" s="196">
        <v>136</v>
      </c>
      <c r="O18" s="196">
        <v>0</v>
      </c>
      <c r="P18" s="196">
        <v>1</v>
      </c>
      <c r="Q18" s="196">
        <v>0</v>
      </c>
      <c r="R18" s="196">
        <v>1</v>
      </c>
      <c r="S18" s="196">
        <v>45</v>
      </c>
      <c r="T18" s="196">
        <v>100</v>
      </c>
      <c r="U18" s="196">
        <v>90</v>
      </c>
      <c r="V18" s="196">
        <v>55</v>
      </c>
      <c r="W18" s="196">
        <v>2</v>
      </c>
      <c r="X18" s="202">
        <v>135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100</v>
      </c>
      <c r="BA18" s="139">
        <f t="shared" si="15"/>
        <v>90</v>
      </c>
      <c r="BB18" s="139">
        <f t="shared" si="15"/>
        <v>55</v>
      </c>
      <c r="BC18" s="135">
        <f>IF(ISNUMBER(W18),W18," - ")</f>
        <v>2</v>
      </c>
      <c r="BD18" s="136">
        <f>IF(ISNUMBER(BA18/AZ18),BA18/AZ18," - ")</f>
        <v>0.9</v>
      </c>
      <c r="BE18" s="137">
        <f>IF(ISNUMBER(BB18/BA18),BB18/BA18, " - ")</f>
        <v>0.61111111111111116</v>
      </c>
      <c r="BF18" s="137">
        <f>IF(ISNUMBER(BC18/BA18),BC18/BA18, " - ")</f>
        <v>2.2222222222222223E-2</v>
      </c>
      <c r="BG18" s="209">
        <f>IF(ISNUMBER((AY18+AZ18)/BA18),(AY18+AZ18)/BA18," - ")</f>
        <v>1.6111111111111112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421</v>
      </c>
      <c r="J23" s="197">
        <f t="shared" si="21"/>
        <v>1209</v>
      </c>
      <c r="K23" s="197">
        <f t="shared" si="21"/>
        <v>1225</v>
      </c>
      <c r="L23" s="197">
        <f t="shared" si="21"/>
        <v>317</v>
      </c>
      <c r="M23" s="197">
        <f t="shared" si="21"/>
        <v>127</v>
      </c>
      <c r="N23" s="197">
        <f t="shared" si="21"/>
        <v>792</v>
      </c>
      <c r="O23" s="197">
        <f t="shared" si="21"/>
        <v>11</v>
      </c>
      <c r="P23" s="197">
        <f t="shared" si="21"/>
        <v>41</v>
      </c>
      <c r="Q23" s="197">
        <f t="shared" si="21"/>
        <v>42</v>
      </c>
      <c r="R23" s="197">
        <f t="shared" si="21"/>
        <v>55</v>
      </c>
      <c r="S23" s="197">
        <f t="shared" si="21"/>
        <v>432</v>
      </c>
      <c r="T23" s="197">
        <f t="shared" si="21"/>
        <v>1114</v>
      </c>
      <c r="U23" s="197">
        <f t="shared" si="21"/>
        <v>1125</v>
      </c>
      <c r="V23" s="197">
        <f t="shared" si="21"/>
        <v>421</v>
      </c>
      <c r="W23" s="197">
        <f t="shared" si="21"/>
        <v>156</v>
      </c>
      <c r="X23" s="197">
        <f t="shared" si="21"/>
        <v>778</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432</v>
      </c>
      <c r="AZ23" s="197">
        <f>SUBTOTAL(9,AZ15:AZ22)</f>
        <v>1114</v>
      </c>
      <c r="BA23" s="197">
        <f>SUBTOTAL(9,BA15:BA22)</f>
        <v>1125</v>
      </c>
      <c r="BB23" s="197">
        <f>SUBTOTAL(9,BB15:BB22)</f>
        <v>421</v>
      </c>
      <c r="BC23" s="197">
        <f>SUBTOTAL(9,BC15:BC22)</f>
        <v>156</v>
      </c>
      <c r="BD23" s="219">
        <f>IF(ISNUMBER(BA23/AZ23),BA23/AZ23," - ")</f>
        <v>1.0098743267504489</v>
      </c>
      <c r="BE23" s="220">
        <f>IF(ISNUMBER(BB23/BA23),BB23/BA23, " - ")</f>
        <v>0.37422222222222223</v>
      </c>
      <c r="BF23" s="220">
        <f>IF(ISNUMBER(BC23/BA23),BC23/BA23, " - ")</f>
        <v>0.13866666666666666</v>
      </c>
      <c r="BG23" s="221">
        <f>IF(ISNUMBER((AY23+AZ23)/BA23),(AY23+AZ23)/BA23," - ")</f>
        <v>1.3742222222222222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1270</v>
      </c>
      <c r="J31" s="144">
        <f t="shared" si="36"/>
        <v>2418</v>
      </c>
      <c r="K31" s="144">
        <f t="shared" si="36"/>
        <v>2238</v>
      </c>
      <c r="L31" s="144">
        <f t="shared" si="36"/>
        <v>1218</v>
      </c>
      <c r="M31" s="144">
        <f t="shared" si="36"/>
        <v>310</v>
      </c>
      <c r="N31" s="144">
        <f t="shared" si="36"/>
        <v>1169</v>
      </c>
      <c r="O31" s="144">
        <f t="shared" si="36"/>
        <v>659</v>
      </c>
      <c r="P31" s="144">
        <f t="shared" si="36"/>
        <v>373</v>
      </c>
      <c r="Q31" s="144">
        <f t="shared" si="36"/>
        <v>303</v>
      </c>
      <c r="R31" s="144">
        <f t="shared" si="36"/>
        <v>1459</v>
      </c>
      <c r="S31" s="144">
        <f t="shared" si="36"/>
        <v>1336</v>
      </c>
      <c r="T31" s="144">
        <f t="shared" si="36"/>
        <v>2121</v>
      </c>
      <c r="U31" s="144">
        <f t="shared" si="36"/>
        <v>2169</v>
      </c>
      <c r="V31" s="144">
        <f t="shared" si="36"/>
        <v>1270</v>
      </c>
      <c r="W31" s="144">
        <f t="shared" si="36"/>
        <v>432</v>
      </c>
      <c r="X31" s="144">
        <f t="shared" si="36"/>
        <v>1225</v>
      </c>
      <c r="Y31" s="144">
        <f t="shared" si="36"/>
        <v>58</v>
      </c>
      <c r="Z31" s="144">
        <f t="shared" si="36"/>
        <v>148</v>
      </c>
      <c r="AA31" s="144">
        <f t="shared" si="36"/>
        <v>166</v>
      </c>
      <c r="AB31" s="144">
        <f t="shared" si="36"/>
        <v>40</v>
      </c>
      <c r="AC31" s="144">
        <f t="shared" si="36"/>
        <v>0</v>
      </c>
      <c r="AD31" s="144">
        <f t="shared" si="36"/>
        <v>15</v>
      </c>
      <c r="AE31" s="144">
        <f t="shared" si="36"/>
        <v>15</v>
      </c>
      <c r="AF31" s="144">
        <f t="shared" si="36"/>
        <v>0</v>
      </c>
      <c r="AG31" s="144">
        <f t="shared" si="36"/>
        <v>25</v>
      </c>
      <c r="AH31" s="144">
        <f t="shared" si="36"/>
        <v>146</v>
      </c>
      <c r="AI31" s="144">
        <f t="shared" si="36"/>
        <v>113</v>
      </c>
      <c r="AJ31" s="144">
        <f t="shared" si="36"/>
        <v>58</v>
      </c>
      <c r="AK31" s="144">
        <f t="shared" si="36"/>
        <v>0</v>
      </c>
      <c r="AL31" s="144">
        <f t="shared" si="36"/>
        <v>11</v>
      </c>
      <c r="AM31" s="144">
        <f t="shared" si="36"/>
        <v>11</v>
      </c>
      <c r="AN31" s="224">
        <f t="shared" si="36"/>
        <v>0</v>
      </c>
      <c r="AO31" s="225">
        <v>3</v>
      </c>
      <c r="AP31" s="225">
        <v>2</v>
      </c>
      <c r="AQ31" s="225">
        <v>2</v>
      </c>
      <c r="AR31" s="225">
        <v>2</v>
      </c>
      <c r="AS31" s="166">
        <f t="shared" si="36"/>
        <v>0</v>
      </c>
      <c r="AT31" s="166">
        <f t="shared" si="36"/>
        <v>0</v>
      </c>
      <c r="AU31" s="225"/>
      <c r="AV31" s="226"/>
      <c r="AW31" s="225"/>
      <c r="AX31" s="226"/>
      <c r="AY31" s="143">
        <f>SUBTOTAL(9,AY9:AY30)</f>
        <v>1361</v>
      </c>
      <c r="AZ31" s="144">
        <f>SUBTOTAL(9,AZ9:AZ30)</f>
        <v>2267</v>
      </c>
      <c r="BA31" s="144">
        <f>SUBTOTAL(9,BA9:BA30)</f>
        <v>2282</v>
      </c>
      <c r="BB31" s="144">
        <f>SUBTOTAL(9,BB9:BB30)</f>
        <v>1328</v>
      </c>
      <c r="BC31" s="145">
        <f>SUBTOTAL(9,BC9:BC30)</f>
        <v>611</v>
      </c>
      <c r="BD31" s="227">
        <f>IF(ISNUMBER(BA31/AZ31),BA31/AZ31," - ")</f>
        <v>1.0066166740185267</v>
      </c>
      <c r="BE31" s="224">
        <f>IF(ISNUMBER(BB31/BA31),BB31/BA31, " - ")</f>
        <v>0.58194566170026296</v>
      </c>
      <c r="BF31" s="224">
        <f>IF(ISNUMBER(BC31/BA31),BC31/BA31, " - ")</f>
        <v>0.2677475898334794</v>
      </c>
      <c r="BG31" s="145">
        <f>IF(ISNUMBER((AY31+AZ31)/BA31),(AY31+AZ31)/BA31," - ")</f>
        <v>1.5898334794040316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ImkQzHEjIYuq+9qrrrrKniwDuVyAqqHfroKZMvhMMFu1mMIK4dNFIjMwQYbISUGR6YMXt/vW9Ilhxmn347MA==" saltValue="CafddB/37aC3ytDmns7x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A+5ScnBxvZVDU2rL7dsjfNg1HboPTxE9Qd3e1+SGX/1K87Wrtbj5X/VxIBpJOxgdijDvH1gZZKVRo57ZQIo0w==" saltValue="tpBMP3kHzZ5BVVszVyIx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MONTIJO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148</v>
      </c>
      <c r="O12" s="549"/>
      <c r="P12" s="549"/>
      <c r="Q12" s="547">
        <f>IF(ISNUMBER(Datos!P12),Datos!P12,0)</f>
        <v>332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1404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176</v>
      </c>
      <c r="BD12" s="693">
        <f>IF(ISNUMBER(Datos!N12),Datos!N12," - ")</f>
        <v>376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0.86765799256505571</v>
      </c>
      <c r="BH12" s="764">
        <f>IF(ISNUMBER(((IF(J_V="SI",Datos!L12/Datos!K12,(Datos!L12+Datos!AB12)/(Datos!K12+Datos!AA12)))*11)/factor_trimestre),((IF(J_V="SI",Datos!L12/Datos!K12,(Datos!L12+Datos!AB12)/(Datos!K12+Datos!AA12)))*11)/factor_trimestre," - ")</f>
        <v>8.85089974293059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5.3263315828957242E-2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148</v>
      </c>
      <c r="O14" s="1199">
        <f t="shared" si="1"/>
        <v>0</v>
      </c>
      <c r="P14" s="1199">
        <f t="shared" si="1"/>
        <v>0</v>
      </c>
      <c r="Q14" s="1198">
        <f t="shared" si="1"/>
        <v>332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261</v>
      </c>
      <c r="AD14" s="1198">
        <f t="shared" si="2"/>
        <v>0</v>
      </c>
      <c r="AE14" s="1198">
        <f t="shared" si="2"/>
        <v>0</v>
      </c>
      <c r="AF14" s="1198">
        <f t="shared" si="2"/>
        <v>2</v>
      </c>
      <c r="AG14" s="1198">
        <f t="shared" si="2"/>
        <v>0</v>
      </c>
      <c r="AH14" s="1198">
        <f t="shared" si="2"/>
        <v>40</v>
      </c>
      <c r="AI14" s="1198">
        <f t="shared" si="2"/>
        <v>0</v>
      </c>
      <c r="AJ14" s="1198">
        <f t="shared" si="2"/>
        <v>0</v>
      </c>
      <c r="AK14" s="1198">
        <f t="shared" si="2"/>
        <v>0</v>
      </c>
      <c r="AL14" s="1198">
        <f t="shared" si="2"/>
        <v>0</v>
      </c>
      <c r="AM14" s="1198">
        <f t="shared" si="2"/>
        <v>1404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183</v>
      </c>
      <c r="BD14" s="1198">
        <f t="shared" si="2"/>
        <v>377</v>
      </c>
      <c r="BE14" s="1198">
        <f t="shared" si="2"/>
        <v>0</v>
      </c>
      <c r="BF14" s="1198">
        <f t="shared" si="2"/>
        <v>0</v>
      </c>
      <c r="BG14" s="1198">
        <f>IF(ISNUMBER(Datos!K14/Datos!J14),Datos!K14/Datos!J14," - ")</f>
        <v>0.83788254755996694</v>
      </c>
      <c r="BH14" s="1202">
        <f>IF(ISNUMBER(((Datos!L14/Datos!K14)*11)/factor_trimestre),((Datos!L14/Datos!K14)*11)/factor_trimestre," - ")</f>
        <v>9.7838104639684111</v>
      </c>
      <c r="BI14" s="1198">
        <f>IF(ISNUMBER('Resol  Asuntos'!D14/NºAsuntos!G14),'Resol  Asuntos'!D14/NºAsuntos!G14," - ")</f>
        <v>0.15521628498727735</v>
      </c>
      <c r="BJ14" s="1198" t="str">
        <f>IF(ISNUMBER(Datos!CI14/Datos!CJ14),Datos!CI14/Datos!CJ14," - ")</f>
        <v xml:space="preserve"> - </v>
      </c>
      <c r="BK14" s="1198">
        <f>SUBTOTAL(9,BK8:BK13)</f>
        <v>0</v>
      </c>
      <c r="BL14" s="1198">
        <f>IF(ISNUMBER((I14-AB14+L14)/(F14)),(I14-AB14+L14)/(F14)," - ")</f>
        <v>-6</v>
      </c>
      <c r="BM14" s="1203">
        <f>SUBTOTAL(9,BM9:BM13)</f>
        <v>5.3263315828957242E-2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279</v>
      </c>
      <c r="G17" s="743">
        <f>IF(ISNUMBER(IF(D_I="SI",Datos!I17,Datos!I17+Datos!AC17)),IF(D_I="SI",Datos!I17,Datos!I17+Datos!AC17)," - ")</f>
        <v>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1066</v>
      </c>
      <c r="AC17" s="240">
        <f>IF(ISNUMBER(Datos!Q17),Datos!Q17," - ")</f>
        <v>42</v>
      </c>
      <c r="AD17" s="374"/>
      <c r="AE17" s="562"/>
      <c r="AF17" s="741">
        <f>IF(ISNUMBER(IF(D_I="SI",Datos!L17,Datos!L17+Datos!AF17)),IF(D_I="SI",Datos!L17,Datos!L17+Datos!AF17)," - ")</f>
        <v>272</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119</v>
      </c>
      <c r="BD17" s="243">
        <f>IF(ISNUMBER(Datos!N17),Datos!N17," - ")</f>
        <v>656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1.0066100094428707</v>
      </c>
      <c r="BH17" s="764">
        <f>IF(ISNUMBER(((IF(D_I="SI",Datos!L17/Datos!K17,(Datos!L17+Datos!AF17)/(Datos!K17+Datos!AE17)))*11)/factor_trimestre),((IF(D_I="SI",Datos!L17/Datos!K17,(Datos!L17+Datos!AF17)/(Datos!K17+Datos!AE17)))*11)/factor_trimestre," - ")</f>
        <v>2.8067542213883674</v>
      </c>
      <c r="BI17" s="266">
        <f>IF(ISNUMBER('Resol  Asuntos'!D17/NºAsuntos!G17),'Resol  Asuntos'!D17/NºAsuntos!G17," - ")</f>
        <v>0.11163227016885553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159</v>
      </c>
      <c r="AC18" s="547">
        <f>IF(ISNUMBER(Datos!Q18),Datos!Q18," - ")</f>
        <v>0</v>
      </c>
      <c r="AD18" s="549"/>
      <c r="AE18" s="562"/>
      <c r="AF18" s="551">
        <f>IF(ISNUMBER(Datos!L18),Datos!L18,"-")</f>
        <v>45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v>
      </c>
      <c r="BH18" s="764">
        <f>IF(ISNUMBER(((IF(D_I="SI",Datos!L18/Datos!K18,(Datos!L18+Datos!AF18)/(Datos!K18+Datos!AE18)))*11)/factor_trimestre),((IF(D_I="SI",Datos!L18/Datos!K18,(Datos!L18+Datos!AF18)/(Datos!K18+Datos!AE18)))*11)/factor_trimestre," - ")</f>
        <v>3.1132075471698113</v>
      </c>
      <c r="BI18" s="763">
        <f>IF(ISNUMBER('Resol  Asuntos'!D18/NºAsuntos!G18),'Resol  Asuntos'!D18/NºAsuntos!G18," - ")</f>
        <v>5.0314465408805034E-2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279</v>
      </c>
      <c r="G23" s="1197">
        <f>SUBTOTAL(9,G16:G22)</f>
        <v>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1225</v>
      </c>
      <c r="AC23" s="1198">
        <f t="shared" si="5"/>
        <v>42</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127</v>
      </c>
      <c r="BD23" s="1198">
        <f t="shared" si="5"/>
        <v>792</v>
      </c>
      <c r="BE23" s="1198">
        <f t="shared" si="5"/>
        <v>0</v>
      </c>
      <c r="BF23" s="1198">
        <f t="shared" si="5"/>
        <v>0</v>
      </c>
      <c r="BG23" s="1198">
        <f>IF(ISNUMBER(Datos!K23/Datos!J23),Datos!K23/Datos!J23," - ")</f>
        <v>1.0132340777502067</v>
      </c>
      <c r="BH23" s="1202">
        <f>IF(ISNUMBER(((Datos!L23/Datos!K23)*11)/factor_trimestre),((Datos!L23/Datos!K23)*11)/factor_trimestre," - ")</f>
        <v>2.8465306122448979</v>
      </c>
      <c r="BI23" s="1198">
        <f>SUBTOTAL(9,BI16:BI22)</f>
        <v>0.16194673557766057</v>
      </c>
      <c r="BJ23" s="1198">
        <f>SUBTOTAL(9,BJ16:BJ22)</f>
        <v>0</v>
      </c>
      <c r="BK23" s="1198">
        <f>SUBTOTAL(9,BK16:BK22)</f>
        <v>0</v>
      </c>
      <c r="BL23" s="1198">
        <f>IF(ISNUMBER((I23-AB23+L23)/(F23)),(I23-AB23+L23)/(F23)," - ")</f>
        <v>-4.3906810035842296</v>
      </c>
      <c r="BM23" s="1205">
        <f>IF(ISNUMBER((Datos!P23-Datos!Q23)/(Datos!R23-Datos!P23+Datos!Q23)),(Datos!P23-Datos!Q23)/(Datos!R23-Datos!P23+Datos!Q23)," - ")</f>
        <v>-1.7857142857142856E-2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281</v>
      </c>
      <c r="G31" s="1117">
        <f t="shared" si="18"/>
        <v>423</v>
      </c>
      <c r="H31" s="1119">
        <f t="shared" si="18"/>
        <v>0</v>
      </c>
      <c r="I31" s="1117">
        <f t="shared" si="18"/>
        <v>0</v>
      </c>
      <c r="J31" s="1119">
        <f t="shared" si="18"/>
        <v>0</v>
      </c>
      <c r="K31" s="1119">
        <f t="shared" si="18"/>
        <v>0</v>
      </c>
      <c r="L31" s="1180">
        <f t="shared" si="18"/>
        <v>0</v>
      </c>
      <c r="M31" s="1180">
        <f t="shared" si="18"/>
        <v>0</v>
      </c>
      <c r="N31" s="1180">
        <f t="shared" si="18"/>
        <v>148</v>
      </c>
      <c r="O31" s="1180">
        <f t="shared" si="18"/>
        <v>0</v>
      </c>
      <c r="P31" s="1180">
        <f t="shared" si="18"/>
        <v>0</v>
      </c>
      <c r="Q31" s="1119">
        <f t="shared" si="18"/>
        <v>373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1237</v>
      </c>
      <c r="AC31" s="1118">
        <f t="shared" si="19"/>
        <v>303</v>
      </c>
      <c r="AD31" s="1118">
        <f t="shared" si="19"/>
        <v>0</v>
      </c>
      <c r="AE31" s="1118">
        <f t="shared" si="19"/>
        <v>0</v>
      </c>
      <c r="AF31" s="1125">
        <f t="shared" si="19"/>
        <v>319</v>
      </c>
      <c r="AG31" s="1125">
        <f t="shared" si="19"/>
        <v>0</v>
      </c>
      <c r="AH31" s="1125">
        <f t="shared" si="19"/>
        <v>40</v>
      </c>
      <c r="AI31" s="1125">
        <f t="shared" si="19"/>
        <v>0</v>
      </c>
      <c r="AJ31" s="1118">
        <f t="shared" si="19"/>
        <v>0</v>
      </c>
      <c r="AK31" s="1125">
        <f t="shared" si="19"/>
        <v>0</v>
      </c>
      <c r="AL31" s="1125">
        <f t="shared" si="19"/>
        <v>0</v>
      </c>
      <c r="AM31" s="1125">
        <f t="shared" si="19"/>
        <v>1459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310</v>
      </c>
      <c r="BD31" s="1117">
        <f t="shared" si="19"/>
        <v>1169</v>
      </c>
      <c r="BE31" s="1117">
        <f t="shared" si="19"/>
        <v>0</v>
      </c>
      <c r="BF31" s="1127">
        <f t="shared" si="19"/>
        <v>0</v>
      </c>
      <c r="BG31" s="1223">
        <f>IF(ISNUMBER(Datos!K31/Datos!J31),Datos!K31/Datos!J31," - ")</f>
        <v>0.92555831265508681</v>
      </c>
      <c r="BH31" s="1223">
        <f>IF(ISNUMBER(((Datos!L31/Datos!K31)*11)/factor_trimestre),((Datos!L31/Datos!K31)*11)/factor_trimestre," - ")</f>
        <v>5.9865951742627352</v>
      </c>
      <c r="BI31" s="1103">
        <f>IF(ISNUMBER(Datos!J31/Datos!I31),Datos!J31/Datos!I31," - ")</f>
        <v>1.9039370078740157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-4.4021352313167261</v>
      </c>
      <c r="BM31" s="1188">
        <f>IF(ISNUMBER((Datos!P31-Datos!Q31+R31)/(Datos!R31-Datos!P31+Datos!Q31-R31)),(Datos!P31-Datos!Q31+R31)/(Datos!R31-Datos!P31+Datos!Q31-R31)," - ")</f>
        <v>5.03959683225342E-2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143.56136899133648</v>
      </c>
      <c r="G33" s="674">
        <f>IF(ISNUMBER(STDEV(G8:G30)),STDEV(G8:G30),"-")</f>
        <v>187.96491567260506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545.91936435791717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81.781940025201862</v>
      </c>
      <c r="BD33" s="673"/>
      <c r="BE33" s="673">
        <f>IF(ISNUMBER(STDEV(BE8:BE30)),STDEV(BE8:BE30),"-")</f>
        <v>0</v>
      </c>
      <c r="BF33" s="678">
        <f>IF(ISNUMBER(STDEV(BF8:BF30)),STDEV(BF8:BF30),"-")</f>
        <v>0</v>
      </c>
      <c r="BG33" s="1052">
        <f>IF(ISNUMBER(STDEV(BG8:BG30)),STDEV(BG8:BG30),"-")</f>
        <v>8.9374137188628341E-2</v>
      </c>
      <c r="BH33" s="1058">
        <f>IF(ISNUMBER(STDEV(BH8:BH30)),STDEV(BH8:BH30),"-")</f>
        <v>3.4828762968694851</v>
      </c>
      <c r="BI33" s="273">
        <f>IF(ISNUMBER(STDEV(BI8:BI30)),STDEV(BI8:BI30),"-")</f>
        <v>5.13991240333386E-2</v>
      </c>
      <c r="BJ33" s="244" t="str">
        <f>IF(ISNUMBER(BL33/BM33),BL33/BM33," - ")</f>
        <v xml:space="preserve"> - </v>
      </c>
      <c r="BK33" s="709"/>
      <c r="BL33" s="681">
        <f>IF(ISNUMBER(STDEV(BL8:BL30)),STDEV(BL8:BL30),"-")</f>
        <v>1.1379603754579148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KY/VrYwzD0gWAW6J2L9m2k/VOW9jjLyD0r9K/JDOKx1Wes8fEPXU/xRf9UKbqmGEdI5kN++/dRoflIdGwLNOw==" saltValue="KxqB2/XL3WLdMIrZ6Z1H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MONTIJO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261</v>
      </c>
      <c r="AA12" s="551" t="str">
        <f>IF(ISNUMBER(IF(J_V="SI",Datos!L12,Datos!L12+Datos!AB12)-IF(Monitorios="SI",Datos!CD12,0)),
                          IF(J_V="SI",Datos!L12,Datos!L12+Datos!AB12)-IF(Monitorios="SI",Datos!CD12,0),
                          " - ")</f>
        <v xml:space="preserve"> - </v>
      </c>
      <c r="AB12" s="549"/>
      <c r="AC12" s="549"/>
      <c r="AD12" s="563"/>
      <c r="AE12" s="563">
        <f>IF(ISNUMBER(Datos!R12),Datos!R12," - ")</f>
        <v>1404</v>
      </c>
      <c r="AF12" s="693" t="str">
        <f>IF(ISNUMBER(Datos!BV12),Datos!BV12," - ")</f>
        <v xml:space="preserve"> - </v>
      </c>
      <c r="AG12" s="552" t="str">
        <f>IF(ISNUMBER(Datos!DV12),Datos!DV12," - ")</f>
        <v xml:space="preserve"> - </v>
      </c>
      <c r="AH12" s="553"/>
      <c r="AI12" s="554"/>
      <c r="AJ12" s="552">
        <f>IF(ISNUMBER(Datos!M12),Datos!M12," - ")</f>
        <v>176</v>
      </c>
      <c r="AK12" s="693">
        <f>IF(ISNUMBER(Datos!N12),Datos!N12," - ")</f>
        <v>376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8.85089974293059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5.3263315828957242E-2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261</v>
      </c>
      <c r="AA14" s="1199">
        <f t="shared" si="3"/>
        <v>2</v>
      </c>
      <c r="AB14" s="1199">
        <f t="shared" si="3"/>
        <v>0</v>
      </c>
      <c r="AC14" s="1199">
        <f t="shared" si="3"/>
        <v>0</v>
      </c>
      <c r="AD14" s="1199">
        <f t="shared" si="3"/>
        <v>0</v>
      </c>
      <c r="AE14" s="1199">
        <f t="shared" si="3"/>
        <v>1404</v>
      </c>
      <c r="AF14" s="1211">
        <f t="shared" si="3"/>
        <v>0</v>
      </c>
      <c r="AG14" s="1211">
        <f t="shared" si="3"/>
        <v>0</v>
      </c>
      <c r="AH14" s="1211">
        <f t="shared" si="3"/>
        <v>0</v>
      </c>
      <c r="AI14" s="1211">
        <f t="shared" si="3"/>
        <v>0</v>
      </c>
      <c r="AJ14" s="1211">
        <f t="shared" si="3"/>
        <v>183</v>
      </c>
      <c r="AK14" s="1211">
        <f t="shared" si="3"/>
        <v>377</v>
      </c>
      <c r="AL14" s="1211">
        <f t="shared" si="3"/>
        <v>0</v>
      </c>
      <c r="AM14" s="1211">
        <f t="shared" si="3"/>
        <v>0</v>
      </c>
      <c r="AN14" s="1211">
        <f t="shared" si="3"/>
        <v>0</v>
      </c>
      <c r="AO14" s="1203">
        <f>IF(ISNUMBER(((NºAsuntos!I14/NºAsuntos!G14)*11)/factor_trimestre),((NºAsuntos!I14/NºAsuntos!G14)*11)/factor_trimestre," - ")</f>
        <v>8.7794741306191693</v>
      </c>
      <c r="AP14" s="1213" t="str">
        <f>IF(ISNUMBER(Datos!CI14/Datos!CJ14),Datos!CI14/Datos!CJ14," - ")</f>
        <v xml:space="preserve"> - </v>
      </c>
      <c r="AQ14" s="1236">
        <f t="shared" ref="AQ14:AV14" si="4">SUBTOTAL(9,AQ9:AQ13)</f>
        <v>0</v>
      </c>
      <c r="AR14" s="1236">
        <f t="shared" si="4"/>
        <v>5.3263315828957242E-2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279</v>
      </c>
      <c r="G17" s="552">
        <f>IF(ISNUMBER(IF(D_I="SI",Datos!I17,Datos!I17+Datos!AC17)),IF(D_I="SI",Datos!I17,Datos!I17+Datos!AC17)," - ")</f>
        <v>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1066</v>
      </c>
      <c r="Z17" s="805">
        <f>IF(ISNUMBER(Datos!Q17),Datos!Q17," - ")</f>
        <v>42</v>
      </c>
      <c r="AA17" s="551">
        <f>IF(ISNUMBER(IF(D_I="SI",Datos!L17,Datos!L17+Datos!AF17)),IF(D_I="SI",Datos!L17,Datos!L17+Datos!AF17)," - ")</f>
        <v>272</v>
      </c>
      <c r="AB17" s="549"/>
      <c r="AC17" s="549"/>
      <c r="AD17" s="563"/>
      <c r="AE17" s="563">
        <f>IF(ISNUMBER(Datos!R17),Datos!R17," - ")</f>
        <v>54</v>
      </c>
      <c r="AF17" s="693" t="str">
        <f>IF(ISNUMBER(Datos!BV17),Datos!BV17," - ")</f>
        <v xml:space="preserve"> - </v>
      </c>
      <c r="AG17" s="552"/>
      <c r="AH17" s="553"/>
      <c r="AI17" s="554"/>
      <c r="AJ17" s="552">
        <f>IF(ISNUMBER(Datos!M17),Datos!M17," - ")</f>
        <v>119</v>
      </c>
      <c r="AK17" s="693">
        <f>IF(ISNUMBER(Datos!N17),Datos!N17," - ")</f>
        <v>656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2.8067542213883674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159</v>
      </c>
      <c r="Z18" s="805">
        <f>IF(ISNUMBER(Datos!Q18),Datos!Q18," - ")</f>
        <v>0</v>
      </c>
      <c r="AA18" s="551">
        <f>IF(ISNUMBER(Datos!L18),Datos!L18,"-")</f>
        <v>45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136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3.1132075471698113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279</v>
      </c>
      <c r="G23" s="1197">
        <f>SUBTOTAL(9,G16:G22)</f>
        <v>421</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1225</v>
      </c>
      <c r="Z23" s="1240">
        <f t="shared" si="6"/>
        <v>42</v>
      </c>
      <c r="AA23" s="1240">
        <f t="shared" si="6"/>
        <v>317</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127</v>
      </c>
      <c r="AK23" s="1240">
        <f t="shared" si="6"/>
        <v>792</v>
      </c>
      <c r="AL23" s="1240">
        <f t="shared" si="6"/>
        <v>0</v>
      </c>
      <c r="AM23" s="1240">
        <f t="shared" si="6"/>
        <v>0</v>
      </c>
      <c r="AN23" s="1240">
        <f t="shared" si="6"/>
        <v>0</v>
      </c>
      <c r="AO23" s="1242">
        <f>IF(ISNUMBER(((NºAsuntos!I23/NºAsuntos!G23)*11)/factor_trimestre),((NºAsuntos!I23/NºAsuntos!G23)*11)/factor_trimestre," - ")</f>
        <v>2.8465306122448979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281</v>
      </c>
      <c r="G31" s="1117">
        <f t="shared" si="12"/>
        <v>423</v>
      </c>
      <c r="H31" s="1118">
        <f t="shared" si="12"/>
        <v>0</v>
      </c>
      <c r="I31" s="1117">
        <f t="shared" si="12"/>
        <v>0</v>
      </c>
      <c r="J31" s="1119">
        <f t="shared" si="12"/>
        <v>0</v>
      </c>
      <c r="K31" s="1117">
        <f t="shared" si="12"/>
        <v>0</v>
      </c>
      <c r="L31" s="1120">
        <f t="shared" si="12"/>
        <v>0</v>
      </c>
      <c r="M31" s="1117">
        <f t="shared" si="12"/>
        <v>0</v>
      </c>
      <c r="N31" s="1118">
        <f t="shared" si="12"/>
        <v>373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1237</v>
      </c>
      <c r="Z31" s="1124">
        <f t="shared" si="13"/>
        <v>303</v>
      </c>
      <c r="AA31" s="1125">
        <f t="shared" si="13"/>
        <v>319</v>
      </c>
      <c r="AB31" s="1125">
        <f t="shared" si="13"/>
        <v>0</v>
      </c>
      <c r="AC31" s="1125">
        <f t="shared" si="13"/>
        <v>0</v>
      </c>
      <c r="AD31" s="1126">
        <f t="shared" si="13"/>
        <v>0</v>
      </c>
      <c r="AE31" s="1126">
        <f t="shared" si="13"/>
        <v>1459</v>
      </c>
      <c r="AF31" s="1127">
        <f t="shared" si="13"/>
        <v>0</v>
      </c>
      <c r="AG31" s="1128">
        <f t="shared" si="13"/>
        <v>0</v>
      </c>
      <c r="AH31" s="1129">
        <f t="shared" si="13"/>
        <v>0</v>
      </c>
      <c r="AI31" s="1127">
        <f t="shared" si="13"/>
        <v>0</v>
      </c>
      <c r="AJ31" s="1117">
        <f t="shared" si="13"/>
        <v>310</v>
      </c>
      <c r="AK31" s="1117">
        <f t="shared" si="13"/>
        <v>1169</v>
      </c>
      <c r="AL31" s="1117">
        <f t="shared" si="13"/>
        <v>0</v>
      </c>
      <c r="AM31" s="1130">
        <f t="shared" si="13"/>
        <v>0</v>
      </c>
      <c r="AN31" s="1120">
        <f>IF(ISNUMBER(Datos!K31/Datos!J31),Datos!K31/Datos!J31," - ")</f>
        <v>0.92555831265508681</v>
      </c>
      <c r="AO31" s="1120">
        <f>IF(ISNUMBER(FIND("06",Criterios!A8,1)),(IF(ISNUMBER(((Datos!R31/Datos!Q31)*11)/factor_trimestre),((Datos!R31/Datos!Q31)*11)/factor_trimestre," - ")),(IF(ISNUMBER(((Datos!L31/Datos!K31)*11)/factor_trimestre),((Datos!L31/Datos!K31)*11)/factor_trimestre," - ")))</f>
        <v>5.9865951742627352</v>
      </c>
      <c r="AP31" s="1131" t="str">
        <f>IF(ISNUMBER(Datos!CI31/Datos!CJ31),Datos!CI31/Datos!CJ31," - ")</f>
        <v xml:space="preserve"> - </v>
      </c>
      <c r="AQ31" s="1131">
        <f>IF(OR(ISNUMBER(FIND("01",Criterios!A8,1)),ISNUMBER(FIND("02",Criterios!A8,1)),ISNUMBER(FIND("03",Criterios!A8,1)),ISNUMBER(FIND("04",Criterios!A8,1))),(J31-Y31+K31)/(F31-K31),(I31-Y31+K31)/(F31-K31))</f>
        <v>-4.4021352313167261</v>
      </c>
      <c r="AR31" s="1131">
        <f>IF(ISNUMBER((Datos!P31-Datos!Q31+O31)/(Datos!R31-Datos!P31+Datos!Q31-O31)),(Datos!P31-Datos!Q31+O31)/(Datos!R31-Datos!P31+Datos!Q31-O31)," - ")</f>
        <v>5.03959683225342E-2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143.56136899133648</v>
      </c>
      <c r="G33" s="674">
        <f>IF(ISNUMBER(STDEV(G8:G30)),STDEV(G8:G30),"-")</f>
        <v>187.96491567260506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81.781940025201862</v>
      </c>
      <c r="AK33" s="276"/>
      <c r="AL33" s="276">
        <f>IF(ISNUMBER(STDEV(AL8:AL30)),STDEV(AL8:AL30),"-")</f>
        <v>0</v>
      </c>
      <c r="AM33" s="278">
        <f>IF(ISNUMBER(STDEV(AM8:AM30)),STDEV(AM8:AM30),"-")</f>
        <v>0</v>
      </c>
      <c r="AN33" s="660">
        <f>IF(ISNUMBER(STDEV(AN8:AN30)),STDEV(AN8:AN30),"-")</f>
        <v>0</v>
      </c>
      <c r="AO33" s="661">
        <f>IF(ISNUMBER(STDEV(AO8:AO30)),STDEV(AO8:AO30),"-")</f>
        <v>3.2133266958542781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UYxQRdgOSMdIPz4IWiDc1fX22CGAuQAvDDqaKgiApFfhHohpOW+jciafkrWZ9NQMk2SCi7JSZrNRXwwZdiv3g==" saltValue="2dG1E3I4ldgOX4IuZcfy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mKNLUF01+OO9B5O40JhX/S8uVaGUgbHjewvbbhliNxuWPBXWRRK0EXhALaCvZ3VlwsVkqzB0FBeD9lYu6+vWg==" saltValue="QF2vXq2iZV4GDdXYDK5b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DJbPxavuyV2/e6rehtK37iGN5qTPjmqLEZONlUKB6+gZlC84ALRkZjkY4FvjrSdrASKp79tSwGkVgzZvKHtoQ==" saltValue="VB6/zpf4LB3ihBe/5gHR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MONTIJO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0.15521628498727735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0.10975448766508754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kTVmnoQmsz6NWqPC0WX99GAGDo57+ZYNuCZfIcqhPJo1CJ29x0bzdbwuQ9ha4DcgMKhXvh21T8PZMCMy9J28w==" saltValue="xSmw/QZG3/EHUQQ4HDuo0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5K4R7BHRmHE7pOUkWqISyQV6zcPlTm8lxTN1ckG8MY312bkm/6+FDTML2/Vq8S8r03h9lrUjPtrSutLmNEr4A==" saltValue="pBr6Le8fJairHu9UqhwA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MONTIJO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12</v>
      </c>
      <c r="F10" s="452">
        <f>IF(ISNUMBER(E10/B10),E10/B10," - ")</f>
        <v>12</v>
      </c>
      <c r="G10" s="451">
        <f>IF(ISNUMBER(Datos!K10),Datos!K10," - ")</f>
        <v>12</v>
      </c>
      <c r="H10" s="452">
        <f>IF(ISNUMBER(G10/B10),G10/B10," - ")</f>
        <v>12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905</v>
      </c>
      <c r="D12" s="452">
        <f>IF(ISNUMBER(C12/Datos!BH12),C12/Datos!BH12," - ")</f>
        <v>452.5</v>
      </c>
      <c r="E12" s="451">
        <f>IF(ISNUMBER(IF(J_V="SI",Datos!J12,Datos!J12+Datos!Z12)),IF(J_V="SI",Datos!J12,Datos!J12+Datos!Z12)," - ")</f>
        <v>1345</v>
      </c>
      <c r="F12" s="452">
        <f>IF(ISNUMBER(E12/B12),E12/B12," - ")</f>
        <v>672.5</v>
      </c>
      <c r="G12" s="451">
        <f>IF(ISNUMBER(IF(J_V="SI",Datos!K12,Datos!K12+Datos!AA12)),IF(J_V="SI",Datos!K12,Datos!K12+Datos!AA12)," - ")</f>
        <v>1167</v>
      </c>
      <c r="H12" s="452">
        <f>IF(ISNUMBER(G12/B12),G12/B12," - ")</f>
        <v>583.5</v>
      </c>
      <c r="I12" s="451">
        <f>IF(ISNUMBER(IF(J_V="SI",Datos!L12,Datos!L12+Datos!AB12)),IF(J_V="SI",Datos!L12,Datos!L12+Datos!AB12)," - ")</f>
        <v>939</v>
      </c>
      <c r="J12" s="452">
        <f>IF(ISNUMBER(I12/B12),I12/B12," - ")</f>
        <v>469.5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907</v>
      </c>
      <c r="D14" s="1147" t="str">
        <f>IF(ISNUMBER(C14/Datos!BI14),C14/Datos!BI14," - ")</f>
        <v xml:space="preserve"> - </v>
      </c>
      <c r="E14" s="1146">
        <f>SUBTOTAL(9,E8:E13)</f>
        <v>1357</v>
      </c>
      <c r="F14" s="1147">
        <f>IF(ISNUMBER(E14/B14),E14/B14," - ")</f>
        <v>678.5</v>
      </c>
      <c r="G14" s="1146">
        <f>SUBTOTAL(9,G8:G13)</f>
        <v>1179</v>
      </c>
      <c r="H14" s="1147">
        <f>IF(ISNUMBER(G14/B14),G14/B14," - ")</f>
        <v>589.5</v>
      </c>
      <c r="I14" s="1146">
        <f>SUBTOTAL(9,I8:I13)</f>
        <v>941</v>
      </c>
      <c r="J14" s="1147">
        <f>IF(ISNUMBER(I14/B14),I14/B14," - ")</f>
        <v>470.5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366</v>
      </c>
      <c r="D17" s="452">
        <f>IF(ISNUMBER(C17/Datos!BH17),C17/Datos!BH17," - ")</f>
        <v>183</v>
      </c>
      <c r="E17" s="451">
        <f>IF(ISNUMBER(IF(D_I="SI",Datos!J17,Datos!J17+Datos!AD17)),IF(D_I="SI",Datos!J17,Datos!J17+Datos!AD17)," - ")</f>
        <v>1059</v>
      </c>
      <c r="F17" s="452">
        <f>IF(ISNUMBER(E17/B17),E17/B17," - ")</f>
        <v>529.5</v>
      </c>
      <c r="G17" s="451">
        <f>IF(ISNUMBER(IF(D_I="SI",Datos!K17,Datos!K17+Datos!AE17)),IF(D_I="SI",Datos!K17,Datos!K17+Datos!AE17)," - ")</f>
        <v>1066</v>
      </c>
      <c r="H17" s="452">
        <f>IF(ISNUMBER(G17/B17),G17/B17," - ")</f>
        <v>533</v>
      </c>
      <c r="I17" s="451">
        <f>IF(ISNUMBER(IF(D_I="SI",Datos!L17,Datos!L17+Datos!AF17)),IF(D_I="SI",Datos!L17,Datos!L17+Datos!AF17)," - ")</f>
        <v>272</v>
      </c>
      <c r="J17" s="452">
        <f>IF(ISNUMBER(I17/B17),I17/B17," - ")</f>
        <v>136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150</v>
      </c>
      <c r="F18" s="452">
        <f>IF(ISNUMBER(E18/B18),E18/B18," - ")</f>
        <v>150</v>
      </c>
      <c r="G18" s="451">
        <f>IF(ISNUMBER(IF(D_I="SI",Datos!K18,Datos!K18+Datos!AE18)),IF(D_I="SI",Datos!K18,Datos!K18+Datos!AE18)," - ")</f>
        <v>159</v>
      </c>
      <c r="H18" s="452">
        <f>IF(ISNUMBER(G18/B18),G18/B18," - ")</f>
        <v>159</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421</v>
      </c>
      <c r="D23" s="1147" t="str">
        <f>IF(ISNUMBER(C23/Datos!BI23),C23/Datos!BI23," - ")</f>
        <v xml:space="preserve"> - </v>
      </c>
      <c r="E23" s="1146">
        <f>SUBTOTAL(9,E15:E22)</f>
        <v>1209</v>
      </c>
      <c r="F23" s="1147">
        <f>IF(ISNUMBER(E23/B23),E23/B23," - ")</f>
        <v>604.5</v>
      </c>
      <c r="G23" s="1146">
        <f>SUBTOTAL(9,G15:G22)</f>
        <v>1225</v>
      </c>
      <c r="H23" s="1147">
        <f>IF(ISNUMBER(G23/B23),G23/B23," - ")</f>
        <v>612.5</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1328</v>
      </c>
      <c r="D31" s="1085" t="str">
        <f>IF(ISNUMBER(C31/Datos!BI31),C31/Datos!BI31," - ")</f>
        <v xml:space="preserve"> - </v>
      </c>
      <c r="E31" s="1084">
        <f>SUBTOTAL(9,E9:E30)</f>
        <v>2566</v>
      </c>
      <c r="F31" s="1085">
        <f>IF(ISNUMBER(E31/B31),E31/B31," - ")</f>
        <v>1283</v>
      </c>
      <c r="G31" s="1084">
        <f>SUBTOTAL(9,G9:G30)</f>
        <v>2404</v>
      </c>
      <c r="H31" s="1085">
        <f>IF(ISNUMBER(G31/B31),G31/B31," - ")</f>
        <v>1202</v>
      </c>
      <c r="I31" s="1084">
        <f>SUBTOTAL(9,I9:I30)</f>
        <v>1258</v>
      </c>
      <c r="J31" s="1085">
        <f>IF(ISNUMBER(I31/B31),I31/B31," - ")</f>
        <v>629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mSQd+MzCxJnByXig2s7BjQQ4yBWB8fhFqmiVl8y3gHuLOYvY+Hh7l0Z0OMk1ltoiGiy5SzOXU80RePPmw2wg==" saltValue="lXnvagJjObY/+C/QMIZC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MONTIJO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176</v>
      </c>
      <c r="AM12" s="914">
        <f>IF(ISNUMBER(Datos!N12+DatosP!N17),Datos!N12+DatosP!N17," - ")</f>
        <v>376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8.85089974293059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5.3263315828957242E-2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261</v>
      </c>
      <c r="AE14" s="1257">
        <f t="shared" si="1"/>
        <v>0</v>
      </c>
      <c r="AF14" s="1257">
        <f t="shared" si="1"/>
        <v>2</v>
      </c>
      <c r="AG14" s="1257">
        <f t="shared" si="1"/>
        <v>0</v>
      </c>
      <c r="AH14" s="1257">
        <f t="shared" si="1"/>
        <v>1404</v>
      </c>
      <c r="AI14" s="1257">
        <f t="shared" si="1"/>
        <v>0</v>
      </c>
      <c r="AJ14" s="1257">
        <f t="shared" si="1"/>
        <v>0</v>
      </c>
      <c r="AK14" s="1257">
        <f t="shared" si="1"/>
        <v>0</v>
      </c>
      <c r="AL14" s="1257">
        <f t="shared" si="1"/>
        <v>183</v>
      </c>
      <c r="AM14" s="1257">
        <f t="shared" si="1"/>
        <v>377</v>
      </c>
      <c r="AN14" s="1257">
        <f t="shared" si="1"/>
        <v>0</v>
      </c>
      <c r="AO14" s="1257">
        <f t="shared" si="1"/>
        <v>0</v>
      </c>
      <c r="AP14" s="1262">
        <f>IF(ISNUMBER(((Datos!L14/Datos!K14)*11)/factor_trimestre),((Datos!L14/Datos!K14)*11)/factor_trimestre," - ")</f>
        <v>9.7838104639684111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v>
      </c>
      <c r="AU14" s="1257" t="str">
        <f>IF(ISNUMBER((DatosP!#REF!-DatosP!#REF!+DatosP!#REF!)/(DatosP!#REF!+DatosP!#REF!-DatosP!#REF!-DatosP!#REF!)),(DatosP!#REF!-DatosP!#REF!+DatosP!#REF!)/(DatosP!#REF!+DatosP!#REF!-DatosP!#REF!-DatosP!#REF!)," - ")</f>
        <v xml:space="preserve"> - </v>
      </c>
      <c r="AV14" s="1263">
        <f>SUBTOTAL(9,AV9:AV13)</f>
        <v>5.3263315828957242E-2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2.8465306122448979</v>
      </c>
      <c r="AQ23" s="1262">
        <f>IF(ISNUMBER(((Datos!M23/Datos!L23)*11)/factor_trimestre),((Datos!M23/Datos!L23)*11)/factor_trimestre," - ")</f>
        <v>4.4069400630914828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-1.7857142857142856E-2</v>
      </c>
      <c r="AW23" s="1265">
        <f>IF(ISNUMBER((Datos!Q23-Datos!R23)/(Datos!S23-Datos!Q23+Datos!R23)),(Datos!Q23-Datos!R23)/(Datos!S23-Datos!Q23+Datos!R23)," - ")</f>
        <v>-2.9213483146067417E-2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261</v>
      </c>
      <c r="AE31" s="1284">
        <f t="shared" si="9"/>
        <v>0</v>
      </c>
      <c r="AF31" s="1285">
        <f t="shared" si="9"/>
        <v>2</v>
      </c>
      <c r="AG31" s="1285">
        <f t="shared" si="9"/>
        <v>0</v>
      </c>
      <c r="AH31" s="1285">
        <f t="shared" si="9"/>
        <v>1404</v>
      </c>
      <c r="AI31" s="1285">
        <f t="shared" si="9"/>
        <v>0</v>
      </c>
      <c r="AJ31" s="1286">
        <f t="shared" si="9"/>
        <v>0</v>
      </c>
      <c r="AK31" s="1286">
        <f t="shared" si="9"/>
        <v>0</v>
      </c>
      <c r="AL31" s="1278">
        <f t="shared" si="9"/>
        <v>183</v>
      </c>
      <c r="AM31" s="1278">
        <f t="shared" si="9"/>
        <v>377</v>
      </c>
      <c r="AN31" s="1278">
        <f t="shared" si="9"/>
        <v>0</v>
      </c>
      <c r="AO31" s="1278">
        <f t="shared" si="9"/>
        <v>0</v>
      </c>
      <c r="AP31" s="1278">
        <f>IF(ISNUMBER(((Datos!L31/Datos!K31)*11)/factor_trimestre),((Datos!L31/Datos!K31)*11)/factor_trimestre," - ")</f>
        <v>5.9865951742627352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5.03959683225342E-2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91.856409683810313</v>
      </c>
      <c r="AM33" s="1006"/>
      <c r="AN33" s="1006">
        <f>IF(ISNUMBER(STDEV(AN8:AN30)),STDEV(AN8:AN30),"-")</f>
        <v>0</v>
      </c>
      <c r="AO33" s="1012">
        <f>IF(ISNUMBER(STDEV(AO8:AO30)),STDEV(AO8:AO30),"-")</f>
        <v>0</v>
      </c>
      <c r="AP33" s="1065">
        <f>IF(ISNUMBER(STDEV(AP8:AP30)),STDEV(AP8:AP30),"-")</f>
        <v>4.0674676443697768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aI7HPW5Oum3CbPjgMLwpyt23OSuKbWo7LHv9i38Q5XiI892wwvJtN8asYhaeEzun55AZo35+VqiYM+LX6MfsA==" saltValue="GL+Cw85GDsfGXWKColwC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MONTIJO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ipsu6IsNqz6u1noGtNHJB4viNFBXRyHLcloENQvGQebpb0jZl80hamam/SDw8PX4D7g84Hbv222mnD0gnotEA==" saltValue="RMSnAC6PgkwZ+lPWf+GB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MONTIJO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176</v>
      </c>
      <c r="E12" s="452">
        <f t="shared" si="0"/>
        <v>88</v>
      </c>
      <c r="F12" s="451">
        <f>IF(ISNUMBER(Datos!N12),Datos!N12," - ")</f>
        <v>376</v>
      </c>
      <c r="G12" s="452">
        <f t="shared" si="1"/>
        <v>188</v>
      </c>
      <c r="H12" s="451">
        <f>IF(ISNUMBER(Datos!O12),Datos!O12," - ")</f>
        <v>647</v>
      </c>
      <c r="I12" s="452">
        <f t="shared" si="2"/>
        <v>323.5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183</v>
      </c>
      <c r="E14" s="1147">
        <f t="shared" si="0"/>
        <v>61</v>
      </c>
      <c r="F14" s="1146">
        <f>SUBTOTAL(9,F9:F13)</f>
        <v>377</v>
      </c>
      <c r="G14" s="1147">
        <f t="shared" si="1"/>
        <v>125.66666666666667</v>
      </c>
      <c r="H14" s="1146">
        <f>SUBTOTAL(9,H9:H13)</f>
        <v>648</v>
      </c>
      <c r="I14" s="1147">
        <f>IF(ISNUMBER(H14/B14),H14/B14," - ")</f>
        <v>216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119</v>
      </c>
      <c r="E17" s="452">
        <f t="shared" si="3"/>
        <v>59.5</v>
      </c>
      <c r="F17" s="451">
        <f>IF(ISNUMBER(Datos!N17),Datos!N17," - ")</f>
        <v>656</v>
      </c>
      <c r="G17" s="452">
        <f t="shared" si="4"/>
        <v>328</v>
      </c>
      <c r="H17" s="451">
        <f>IF(ISNUMBER(Datos!O17),Datos!O17," - ")</f>
        <v>11</v>
      </c>
      <c r="I17" s="452">
        <f t="shared" si="5"/>
        <v>5.5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136</v>
      </c>
      <c r="G18" s="452">
        <f>IF(ISNUMBER(F18/B18),F18/B18," - ")</f>
        <v>136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127</v>
      </c>
      <c r="E23" s="1147">
        <f t="shared" si="3"/>
        <v>42.333333333333336</v>
      </c>
      <c r="F23" s="1146">
        <f>SUBTOTAL(9,F16:F22)</f>
        <v>792</v>
      </c>
      <c r="G23" s="1147">
        <f t="shared" si="4"/>
        <v>264</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310</v>
      </c>
      <c r="E31" s="1085">
        <f>IF(ISNUMBER(D31/B31),D31/B31," - ")</f>
        <v>155</v>
      </c>
      <c r="F31" s="1084">
        <f>SUBTOTAL(9,F8:F30)</f>
        <v>1169</v>
      </c>
      <c r="G31" s="1085">
        <f>IF(ISNUMBER(F31/B31),F31/B31," - ")</f>
        <v>584.5</v>
      </c>
      <c r="H31" s="1084">
        <f>SUBTOTAL(9,H8:H30)</f>
        <v>659</v>
      </c>
      <c r="I31" s="1085">
        <f>IF(ISNUMBER(H31/B31),H31/B31," - ")</f>
        <v>329.5</v>
      </c>
    </row>
    <row r="34" spans="1:1">
      <c r="A34" s="439" t="str">
        <f>Criterios!A4</f>
        <v>Fecha Informe: 14 abr. 2023</v>
      </c>
    </row>
    <row r="39" spans="1:1">
      <c r="A39" s="462"/>
    </row>
  </sheetData>
  <sheetProtection algorithmName="SHA-512" hashValue="NgrmKvNa4Xx8d7ulBrGSj64vqdHvTid2p6/u96/Jle1YaeCNS9+CkvtinLA9WESicELUB4ry1AekRr17TUuk8A==" saltValue="+yo7OAXJRS4Iiq2l+9Km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MONTIJO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332</v>
      </c>
      <c r="C12" s="489">
        <f>IF(ISNUMBER(Datos!Q12),Datos!Q12," - ")</f>
        <v>261</v>
      </c>
      <c r="D12" s="456">
        <f>IF(ISNUMBER(Datos!R12),Datos!R12," - ")</f>
        <v>1404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332</v>
      </c>
      <c r="C14" s="1150">
        <f>SUBTOTAL(9,C9:C13)</f>
        <v>261</v>
      </c>
      <c r="D14" s="1148">
        <f>SUBTOTAL(9,D9:D13)</f>
        <v>1404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42</v>
      </c>
      <c r="D17" s="456">
        <f>IF(ISNUMBER(Datos!R17),Datos!R17," - ")</f>
        <v>54</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42</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373</v>
      </c>
      <c r="C31" s="1089">
        <f>SUBTOTAL(9,C8:C30)</f>
        <v>303</v>
      </c>
      <c r="D31" s="1090">
        <f>SUBTOTAL(9,D8:D30)</f>
        <v>1459</v>
      </c>
    </row>
    <row r="32" spans="1:4" ht="7.5" customHeight="1"/>
    <row r="33" spans="1:1" ht="6" customHeight="1"/>
    <row r="34" spans="1:1">
      <c r="A34" s="439" t="str">
        <f>Criterios!A4</f>
        <v>Fecha Informe: 14 abr. 2023</v>
      </c>
    </row>
    <row r="39" spans="1:1">
      <c r="A39" s="462"/>
    </row>
  </sheetData>
  <sheetProtection algorithmName="SHA-512" hashValue="CnE3xgS328NBhPxqQkF76A5AirIeWbEOHKilKsUI3nt/dJMnRPT82/jSdgvEb6K4dx5CN3wU6lVld8SxloEWNQ==" saltValue="sy/XkQb0P+hUBcUDNuHZ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MONTIJO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1</v>
      </c>
      <c r="D10" s="515">
        <f>IF(ISNUMBER((Datos!K10-Datos!U10)/Datos!U10),(Datos!K10-Datos!U10)/Datos!U10," - ")</f>
        <v>0</v>
      </c>
      <c r="E10" s="515">
        <f>IF(ISNUMBER((Datos!L10-Datos!V10)/Datos!V10),(Datos!L10-Datos!V10)/Datos!V10," - ")</f>
        <v>0</v>
      </c>
      <c r="F10" s="515">
        <f>IF(ISNUMBER((Datos!M10-Datos!W10)/Datos!W10),(Datos!M10-Datos!W10)/Datos!W10," - ")</f>
        <v>-0.3</v>
      </c>
      <c r="G10" s="516">
        <f>IF(ISNUMBER((Datos!N10-Datos!X10)/Datos!X10),(Datos!N10-Datos!X10)/Datos!X10," - ")</f>
        <v>-0.5</v>
      </c>
      <c r="H10" s="514">
        <f>IF(ISNUMBER(((NºAsuntos!G10/NºAsuntos!E10)-Datos!BD10)/Datos!BD10),((NºAsuntos!G10/NºAsuntos!E10)-Datos!BD10)/Datos!BD10," - ")</f>
        <v>-0.5</v>
      </c>
      <c r="I10" s="515">
        <f>IF(ISNUMBER(((NºAsuntos!I10/NºAsuntos!G10)-Datos!BE10)/Datos!BE10),((NºAsuntos!I10/NºAsuntos!G10)-Datos!BE10)/Datos!BE10," - ")</f>
        <v>0</v>
      </c>
      <c r="J10" s="521">
        <f>IF(ISNUMBER((('Resol  Asuntos'!D10/NºAsuntos!G10)-Datos!BF10)/Datos!BF10),(('Resol  Asuntos'!D10/NºAsuntos!G10)-Datos!BF10)/Datos!BF10," - ")</f>
        <v>-0.3</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-1.737242128121607E-2</v>
      </c>
      <c r="C12" s="515">
        <f>IF(ISNUMBER(
   IF(J_V="SI",(Datos!J12-Datos!T12)/Datos!T12,(Datos!J12+Datos!Z12-(Datos!T12+Datos!AH12))/(Datos!T12+Datos!AH12))
     ),IF(J_V="SI",(Datos!J12-Datos!T12)/Datos!T12,(Datos!J12+Datos!Z12-(Datos!T12+Datos!AH12))/(Datos!T12+Datos!AH12))," - ")</f>
        <v>0.17262423714036618</v>
      </c>
      <c r="D12" s="515">
        <f>IF(ISNUMBER(
   IF(J_V="SI",(Datos!K12-Datos!U12)/Datos!U12,(Datos!K12+Datos!AA12-(Datos!U12+Datos!AI12))/(Datos!U12+Datos!AI12))
     ),IF(J_V="SI",(Datos!K12-Datos!U12)/Datos!U12,(Datos!K12+Datos!AA12-(Datos!U12+Datos!AI12))/(Datos!U12+Datos!AI12))," - ")</f>
        <v>1.9213973799126639E-2</v>
      </c>
      <c r="E12" s="515">
        <f>IF(ISNUMBER(
   IF(J_V="SI",(Datos!L12-Datos!V12)/Datos!V12,(Datos!L12+Datos!AB12-(Datos!V12+Datos!AJ12))/(Datos!V12+Datos!AJ12))
     ),IF(J_V="SI",(Datos!L12-Datos!V12)/Datos!V12,(Datos!L12+Datos!AB12-(Datos!V12+Datos!AJ12))/(Datos!V12+Datos!AJ12))," - ")</f>
        <v>3.7569060773480663E-2</v>
      </c>
      <c r="F12" s="515">
        <f>IF(ISNUMBER((Datos!M12-Datos!W12)/Datos!W12),(Datos!M12-Datos!W12)/Datos!W12," - ")</f>
        <v>-0.33834586466165412</v>
      </c>
      <c r="G12" s="516">
        <f>IF(ISNUMBER((Datos!N12-Datos!X12)/Datos!X12),(Datos!N12-Datos!X12)/Datos!X12," - ")</f>
        <v>-0.15505617977528091</v>
      </c>
      <c r="H12" s="514">
        <f>IF(ISNUMBER(((NºAsuntos!G12/NºAsuntos!E12)-Datos!BD12)/Datos!BD12),((NºAsuntos!G12/NºAsuntos!E12)-Datos!BD12)/Datos!BD12," - ")</f>
        <v>-0.13082644762260359</v>
      </c>
      <c r="I12" s="515">
        <f>IF(ISNUMBER(((NºAsuntos!I12/NºAsuntos!G12)-Datos!BE12)/Datos!BE12),((NºAsuntos!I12/NºAsuntos!G12)-Datos!BE12)/Datos!BE12," - ")</f>
        <v>1.8009061341589857E-2</v>
      </c>
      <c r="J12" s="521">
        <f>IF(ISNUMBER((('Resol  Asuntos'!D12/NºAsuntos!G12)-Datos!BF12)/Datos!BF12),(('Resol  Asuntos'!D12/NºAsuntos!G12)-Datos!BF12)/Datos!BF12," - ")</f>
        <v>-0.61195035768271666</v>
      </c>
      <c r="K12" s="522">
        <f>IF(ISNUMBER((((NºAsuntos!C12+NºAsuntos!E12)/NºAsuntos!G12)-Datos!BG12)/Datos!BG12),(((NºAsuntos!C12+NºAsuntos!E12)/NºAsuntos!G12)-Datos!BG12)/Datos!BG12," - ")</f>
        <v>6.749687986355922E-2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-2.3681377825618945E-2</v>
      </c>
      <c r="C14" s="1152">
        <f>IF(ISNUMBER(
   IF(J_V="SI",(Datos!J14-Datos!T14)/Datos!T14,(Datos!J14+Datos!Z14-(Datos!T14+Datos!AH14))/(Datos!T14+Datos!AH14))
     ),IF(J_V="SI",(Datos!J14-Datos!T14)/Datos!T14,(Datos!J14+Datos!Z14-(Datos!T14+Datos!AH14))/(Datos!T14+Datos!AH14))," - ")</f>
        <v>0.17692974848222029</v>
      </c>
      <c r="D14" s="1152">
        <f>IF(ISNUMBER(
   IF(J_V="SI",(Datos!K14-Datos!U14)/Datos!U14,(Datos!K14+Datos!AA14-(Datos!U14+Datos!AI14))/(Datos!U14+Datos!AI14))
     ),IF(J_V="SI",(Datos!K14-Datos!U14)/Datos!U14,(Datos!K14+Datos!AA14-(Datos!U14+Datos!AI14))/(Datos!U14+Datos!AI14))," - ")</f>
        <v>1.9014693171996541E-2</v>
      </c>
      <c r="E14" s="1152">
        <f>IF(ISNUMBER(
   IF(J_V="SI",(Datos!L14-Datos!V14)/Datos!V14,(Datos!L14+Datos!AB14-(Datos!V14+Datos!AJ14))/(Datos!V14+Datos!AJ14))
     ),IF(J_V="SI",(Datos!L14-Datos!V14)/Datos!V14,(Datos!L14+Datos!AB14-(Datos!V14+Datos!AJ14))/(Datos!V14+Datos!AJ14))," - ")</f>
        <v>3.7486218302094816E-2</v>
      </c>
      <c r="F14" s="1153">
        <f>IF(ISNUMBER((Datos!M14-Datos!W14)/Datos!W14),(Datos!M14-Datos!W14)/Datos!W14," - ")</f>
        <v>-0.33695652173913043</v>
      </c>
      <c r="G14" s="1154">
        <f>IF(ISNUMBER((Datos!N14-Datos!X14)/Datos!X14),(Datos!N14-Datos!X14)/Datos!X14," - ")</f>
        <v>-0.15659955257270694</v>
      </c>
      <c r="H14" s="1154">
        <f>IF(ISNUMBER(((NºAsuntos!G14/NºAsuntos!E14)-Datos!BD14)/Datos!BD14),((NºAsuntos!G14/NºAsuntos!E14)-Datos!BD14)/Datos!BD14," - ")</f>
        <v>-0.13417543019357989</v>
      </c>
      <c r="I14" s="1154">
        <f>IF(ISNUMBER(((NºAsuntos!I14/NºAsuntos!G14)-Datos!BE14)/Datos!BE14),((NºAsuntos!I14/NºAsuntos!G14)-Datos!BE14)/Datos!BE14," - ")</f>
        <v>1.8126848664566292E-2</v>
      </c>
      <c r="J14" s="1154">
        <f>IF(ISNUMBER((('Resol  Asuntos'!D14/NºAsuntos!G14)-Datos!BF14)/Datos!BF14),(('Resol  Asuntos'!D14/NºAsuntos!G14)-Datos!BF14)/Datos!BF14," - ")</f>
        <v>-0.60530716103235194</v>
      </c>
      <c r="K14" s="1154">
        <f>IF(ISNUMBER((((NºAsuntos!C14+NºAsuntos!E14)/NºAsuntos!G14)-Datos!BG14)/Datos!BG14),(((NºAsuntos!C14+NºAsuntos!E14)/NºAsuntos!G14)-Datos!BG14)/Datos!BG14," - ")</f>
        <v>6.7124893774254762E-2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-5.4263565891472867E-2</v>
      </c>
      <c r="C17" s="515">
        <f>IF(ISNUMBER(
   IF(D_I="SI",(Datos!J17-Datos!T17)/Datos!T17,(Datos!J17+Datos!AD17-(Datos!T17+Datos!AL17))/(Datos!T17+Datos!AL17))
     ),IF(D_I="SI",(Datos!J17-Datos!T17)/Datos!T17,(Datos!J17+Datos!AD17-(Datos!T17+Datos!AL17))/(Datos!T17+Datos!AL17))," - ")</f>
        <v>4.4378698224852069E-2</v>
      </c>
      <c r="D17" s="515">
        <f>IF(ISNUMBER(
   IF(D_I="SI",(Datos!K17-Datos!U17)/Datos!U17,(Datos!K17+Datos!AE17-(Datos!U17+Datos!AM17))/(Datos!U17+Datos!AM17))
     ),IF(D_I="SI",(Datos!K17-Datos!U17)/Datos!U17,(Datos!K17+Datos!AE17-(Datos!U17+Datos!AM17))/(Datos!U17+Datos!AM17))," - ")</f>
        <v>2.9951690821256038E-2</v>
      </c>
      <c r="E17" s="515">
        <f>IF(ISNUMBER(
   IF(D_I="SI",(Datos!L17-Datos!V17)/Datos!V17,(Datos!L17+Datos!AF17-(Datos!V17+Datos!AN17))/(Datos!V17+Datos!AN17))
     ),IF(D_I="SI",(Datos!L17-Datos!V17)/Datos!V17,(Datos!L17+Datos!AF17-(Datos!V17+Datos!AN17))/(Datos!V17+Datos!AN17))," - ")</f>
        <v>-0.25683060109289618</v>
      </c>
      <c r="F17" s="515">
        <f>IF(ISNUMBER((Datos!M17-Datos!W17)/Datos!W17),(Datos!M17-Datos!W17)/Datos!W17," - ")</f>
        <v>-0.22727272727272727</v>
      </c>
      <c r="G17" s="516">
        <f>IF(ISNUMBER((Datos!N17-Datos!X17)/Datos!X17),(Datos!N17-Datos!X17)/Datos!X17," - ")</f>
        <v>2.0217729393468119E-2</v>
      </c>
      <c r="H17" s="514">
        <f>IF(ISNUMBER(((NºAsuntos!G17/NºAsuntos!E17)-Datos!BD17)/Datos!BD17),((NºAsuntos!G17/NºAsuntos!E17)-Datos!BD17)/Datos!BD17," - ")</f>
        <v>-1.3813961763216514E-2</v>
      </c>
      <c r="I17" s="515">
        <f>IF(ISNUMBER(((NºAsuntos!I17/NºAsuntos!G17)-Datos!BE17)/Datos!BE17),((NºAsuntos!I17/NºAsuntos!G17)-Datos!BE17)/Datos!BE17," - ")</f>
        <v>-0.27844246916617971</v>
      </c>
      <c r="J17" s="521">
        <f>IF(ISNUMBER((('Resol  Asuntos'!D17/NºAsuntos!G17)-Datos!BF17)/Datos!BF17),(('Resol  Asuntos'!D17/NºAsuntos!G17)-Datos!BF17)/Datos!BF17," - ")</f>
        <v>-0.24974415828074362</v>
      </c>
      <c r="K17" s="522">
        <f>IF(ISNUMBER((((NºAsuntos!C17+NºAsuntos!E17)/NºAsuntos!G17)-Datos!BG17)/Datos!BG17),(((NºAsuntos!C17+NºAsuntos!E17)/NºAsuntos!G17)-Datos!BG17)/Datos!BG17," - ")</f>
        <v>-1.2448224465772938E-2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0.76666666666666672</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3</v>
      </c>
      <c r="G18" s="516">
        <f>IF(ISNUMBER((Datos!N18-Datos!X18)/Datos!X18),(Datos!N18-Datos!X18)/Datos!X18," - ")</f>
        <v>7.4074074074074077E-3</v>
      </c>
      <c r="H18" s="514">
        <f>IF(ISNUMBER(((NºAsuntos!G18/NºAsuntos!E18)-Datos!BD18)/Datos!BD18),((NºAsuntos!G18/NºAsuntos!E18)-Datos!BD18)/Datos!BD18," - ")</f>
        <v>0.17777777777777781</v>
      </c>
      <c r="I18" s="515">
        <f>IF(ISNUMBER(((NºAsuntos!I18/NºAsuntos!G18)-Datos!BE18)/Datos!BE18),((NºAsuntos!I18/NºAsuntos!G18)-Datos!BE18)/Datos!BE18," - ")</f>
        <v>-0.53687821612349917</v>
      </c>
      <c r="J18" s="521">
        <f>IF(ISNUMBER((('Resol  Asuntos'!D18/NºAsuntos!G18)-Datos!BF18)/Datos!BF18),(('Resol  Asuntos'!D18/NºAsuntos!G18)-Datos!BF18)/Datos!BF18," - ")</f>
        <v>1.2641509433962264</v>
      </c>
      <c r="K18" s="522">
        <f>IF(ISNUMBER((((NºAsuntos!C18+NºAsuntos!E18)/NºAsuntos!G18)-Datos!BG18)/Datos!BG18),(((NºAsuntos!C18+NºAsuntos!E18)/NºAsuntos!G18)-Datos!BG18)/Datos!BG18," - ")</f>
        <v>-0.19973975276512693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-2.5462962962962962E-2</v>
      </c>
      <c r="C23" s="1152">
        <f>IF(ISNUMBER(
   IF(Criterios!B14="SI",(Datos!J23-Datos!T23)/Datos!T23,(Datos!J23+Datos!AD23-(Datos!T23+Datos!AL23))/(Datos!T23+Datos!AL23))
     ),IF(Criterios!B14="SI",(Datos!J23-Datos!T23)/Datos!T23,(Datos!J23+Datos!AD23-(Datos!T23+Datos!AL23))/(Datos!T23+Datos!AL23))," - ")</f>
        <v>8.527827648114901E-2</v>
      </c>
      <c r="D23" s="1152">
        <f>IF(ISNUMBER(
   IF(Criterios!B14="SI",(Datos!K23-Datos!U23)/Datos!U23,(Datos!K23+Datos!AE23-(Datos!U23+Datos!AM23))/(Datos!U23+Datos!AM23))
     ),IF(Criterios!B14="SI",(Datos!K23-Datos!U23)/Datos!U23,(Datos!K23+Datos!AE23-(Datos!U23+Datos!AM23))/(Datos!U23+Datos!AM23))," - ")</f>
        <v>8.8888888888888892E-2</v>
      </c>
      <c r="E23" s="1152">
        <f>IF(ISNUMBER(
   IF(Criterios!B14="SI",(Datos!L23-Datos!V23)/Datos!V23,(Datos!L23+Datos!AF23-(Datos!V23+Datos!AN23))/(Datos!V23+Datos!AN23))
     ),IF(Criterios!B14="SI",(Datos!L23-Datos!V23)/Datos!V23,(Datos!L23+Datos!AF23-(Datos!V23+Datos!AN23))/(Datos!V23+Datos!AN23))," - ")</f>
        <v>-0.24703087885985747</v>
      </c>
      <c r="F23" s="1153">
        <f>IF(ISNUMBER((Datos!M23-Datos!W23)/Datos!W23),(Datos!M23-Datos!W23)/Datos!W23," - ")</f>
        <v>-0.1858974358974359</v>
      </c>
      <c r="G23" s="1154">
        <f>IF(ISNUMBER((Datos!N23-Datos!X23)/Datos!X23),(Datos!N23-Datos!X23)/Datos!X23," - ")</f>
        <v>1.7994858611825194E-2</v>
      </c>
      <c r="H23" s="1154">
        <f>IF(ISNUMBER(((NºAsuntos!G23/NºAsuntos!E23)-Datos!BD23)/Datos!BD23),((NºAsuntos!G23/NºAsuntos!E23)-Datos!BD23)/Datos!BD23," - ")</f>
        <v>3.3269001010935279E-3</v>
      </c>
      <c r="I23" s="1154">
        <f>IF(ISNUMBER(((NºAsuntos!I23/NºAsuntos!G23)-Datos!BE23)/Datos!BE23),((NºAsuntos!I23/NºAsuntos!G23)-Datos!BE23)/Datos!BE23," - ")</f>
        <v>-0.30849774589170587</v>
      </c>
      <c r="J23" s="1154">
        <f>IF(ISNUMBER((('Resol  Asuntos'!D23/NºAsuntos!G23)-Datos!BF23)/Datos!BF23),(('Resol  Asuntos'!D23/NºAsuntos!G23)-Datos!BF23)/Datos!BF23," - ")</f>
        <v>-0.2523547880690738</v>
      </c>
      <c r="K23" s="1154">
        <f>IF(ISNUMBER((((NºAsuntos!C23+NºAsuntos!E23)/NºAsuntos!G23)-Datos!BG23)/Datos!BG23),(((NºAsuntos!C23+NºAsuntos!E23)/NºAsuntos!G23)-Datos!BG23)/Datos!BG23," - ")</f>
        <v>-3.1734297858858972E-2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-2.4246877296105803E-2</v>
      </c>
      <c r="C31" s="1092">
        <f>IF(ISNUMBER(
   IF(J_V="SI",(Datos!J31-Datos!T31)/Datos!T31,(Datos!J31+Datos!Z31-(Datos!T31+Datos!AH31))/(Datos!T31+Datos!AH31))
     ),IF(J_V="SI",(Datos!J31-Datos!T31)/Datos!T31,(Datos!J31+Datos!Z31-(Datos!T31+Datos!AH31))/(Datos!T31+Datos!AH31))," - ")</f>
        <v>0.13189236876929863</v>
      </c>
      <c r="D31" s="1092">
        <f>IF(ISNUMBER(
   IF(J_V="SI",(Datos!K31-Datos!U31)/Datos!U31,(Datos!K31+Datos!AA31-(Datos!U31+Datos!AI31))/(Datos!U31+Datos!AI31))
     ),IF(J_V="SI",(Datos!K31-Datos!U31)/Datos!U31,(Datos!K31+Datos!AA31-(Datos!U31+Datos!AI31))/(Datos!U31+Datos!AI31))," - ")</f>
        <v>5.3461875547765117E-2</v>
      </c>
      <c r="E31" s="1092">
        <f>IF(ISNUMBER(
   IF(J_V="SI",(Datos!L31-Datos!V31)/Datos!V31,(Datos!L31+Datos!AB31-(Datos!V31+Datos!AJ31))/(Datos!V31+Datos!AJ31))
     ),IF(J_V="SI",(Datos!L31-Datos!V31)/Datos!V31,(Datos!L31+Datos!AB31-(Datos!V31+Datos!AJ31))/(Datos!V31+Datos!AJ31))," - ")</f>
        <v>-5.2710843373493979E-2</v>
      </c>
      <c r="F31" s="1093">
        <f>IF(ISNUMBER((Datos!M31-Datos!W31)/Datos!W31),(Datos!M31-Datos!W31)/Datos!W31," - ")</f>
        <v>-0.28240740740740738</v>
      </c>
      <c r="G31" s="1094">
        <f>IF(ISNUMBER((Datos!N31-Datos!X31)/Datos!X31),(Datos!N31-Datos!X31)/Datos!X31," - ")</f>
        <v>-4.5714285714285714E-2</v>
      </c>
      <c r="H31" s="1095">
        <f>IF(ISNUMBER((Tasas!B31-Datos!BD31)/Datos!BD31),(Tasas!B31-Datos!BD31)/Datos!BD31," - ")</f>
        <v>-6.9291476279507616E-2</v>
      </c>
      <c r="I31" s="1096">
        <f>IF(ISNUMBER((Tasas!C31-Datos!BE31)/Datos!BE31),(Tasas!C31-Datos!BE31)/Datos!BE31," - ")</f>
        <v>-0.10078458593107881</v>
      </c>
      <c r="J31" s="1097">
        <f>IF(ISNUMBER((Tasas!D31-Datos!BF31)/Datos!BF31),(Tasas!D31-Datos!BF31)/Datos!BF31," - ")</f>
        <v>-0.51838316390304218</v>
      </c>
      <c r="K31" s="1097">
        <f>IF(ISNUMBER((Tasas!E31-Datos!BG31)/Datos!BG31),(Tasas!E31-Datos!BG31)/Datos!BG31," - ")</f>
        <v>1.8849051654078804E-2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K4rcv8oliORayyL8nz1JH0UPYxfmprW5BPLuXfQebm0lxkKg8Xm8DJg9bSw2Hhrn6SbhqMpeEwPG7Aa6eE6Dw==" saltValue="IJzFNigcvVQDH1bJMq/R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MONTIJO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0.16666666666666666</v>
      </c>
      <c r="D10" s="499">
        <f>IF(ISNUMBER('Resol  Asuntos'!D10/NºAsuntos!G10),'Resol  Asuntos'!D10/NºAsuntos!G10," - ")</f>
        <v>0.58333333333333337</v>
      </c>
      <c r="E10" s="500">
        <f>IF(ISNUMBER((NºAsuntos!C10+NºAsuntos!E10)/NºAsuntos!G10),(NºAsuntos!C10+NºAsuntos!E10)/NºAsuntos!G10," - ")</f>
        <v>1.1666666666666667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0.86765799256505571</v>
      </c>
      <c r="C12" s="498">
        <f>IF(ISNUMBER(NºAsuntos!I12/NºAsuntos!G12),NºAsuntos!I12/NºAsuntos!G12," - ")</f>
        <v>0.80462724935732644</v>
      </c>
      <c r="D12" s="499">
        <f>IF(ISNUMBER('Resol  Asuntos'!D12/NºAsuntos!G12),'Resol  Asuntos'!D12/NºAsuntos!G12," - ")</f>
        <v>0.15081405312767782</v>
      </c>
      <c r="E12" s="500">
        <f>IF(ISNUMBER((NºAsuntos!C12+NºAsuntos!E12)/NºAsuntos!G12),(NºAsuntos!C12+NºAsuntos!E12)/NºAsuntos!G12," - ")</f>
        <v>1.9280205655526992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0.86882829771554904</v>
      </c>
      <c r="C14" s="1156">
        <f>IF(ISNUMBER(NºAsuntos!I14/NºAsuntos!G14),NºAsuntos!I14/NºAsuntos!G14," - ")</f>
        <v>0.79813401187446986</v>
      </c>
      <c r="D14" s="1157">
        <f>IF(ISNUMBER('Resol  Asuntos'!D14/NºAsuntos!G14),'Resol  Asuntos'!D14/NºAsuntos!G14," - ")</f>
        <v>0.15521628498727735</v>
      </c>
      <c r="E14" s="1158">
        <f>IF(ISNUMBER((NºAsuntos!C14+NºAsuntos!E14)/NºAsuntos!G14),(NºAsuntos!C14+NºAsuntos!E14)/NºAsuntos!G14," - ")</f>
        <v>1.9202714164546226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1.0066100094428707</v>
      </c>
      <c r="C17" s="498">
        <f>IF(ISNUMBER(NºAsuntos!I17/NºAsuntos!G17),NºAsuntos!I17/NºAsuntos!G17," - ")</f>
        <v>0.25515947467166977</v>
      </c>
      <c r="D17" s="499">
        <f>IF(ISNUMBER('Resol  Asuntos'!D17/NºAsuntos!G17),'Resol  Asuntos'!D17/NºAsuntos!G17," - ")</f>
        <v>0.11163227016885553</v>
      </c>
      <c r="E17" s="500">
        <f>IF(ISNUMBER((NºAsuntos!C17+NºAsuntos!E17)/NºAsuntos!G17),(NºAsuntos!C17+NºAsuntos!E17)/NºAsuntos!G17," - ")</f>
        <v>1.3367729831144466</v>
      </c>
      <c r="G17" s="523"/>
    </row>
    <row r="18" spans="1:7">
      <c r="A18" s="450" t="str">
        <f>Datos!A18</f>
        <v>Jdos. Violencia contra la mujer</v>
      </c>
      <c r="B18" s="497">
        <f>IF(ISNUMBER(NºAsuntos!G18/NºAsuntos!E18),NºAsuntos!G18/NºAsuntos!E18," - ")</f>
        <v>1.06</v>
      </c>
      <c r="C18" s="498">
        <f>IF(ISNUMBER(NºAsuntos!I18/NºAsuntos!G18),NºAsuntos!I18/NºAsuntos!G18," - ")</f>
        <v>0.28301886792452829</v>
      </c>
      <c r="D18" s="499">
        <f>IF(ISNUMBER('Resol  Asuntos'!D18/NºAsuntos!G18),'Resol  Asuntos'!D18/NºAsuntos!G18," - ")</f>
        <v>5.0314465408805034E-2</v>
      </c>
      <c r="E18" s="500">
        <f>IF(ISNUMBER((NºAsuntos!C18+NºAsuntos!E18)/NºAsuntos!G18),(NºAsuntos!C18+NºAsuntos!E18)/NºAsuntos!G18," - ")</f>
        <v>1.2893081761006289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1.0132340777502067</v>
      </c>
      <c r="C23" s="1156">
        <f>IF(ISNUMBER(NºAsuntos!I23/NºAsuntos!G23),NºAsuntos!I23/NºAsuntos!G23," - ")</f>
        <v>0.25877551020408163</v>
      </c>
      <c r="D23" s="1159">
        <f>IF(ISNUMBER('Resol  Asuntos'!D23/NºAsuntos!G23),'Resol  Asuntos'!D23/NºAsuntos!G23," - ")</f>
        <v>0.1036734693877551</v>
      </c>
      <c r="E23" s="1158">
        <f>IF(ISNUMBER((NºAsuntos!C23+NºAsuntos!E23)/NºAsuntos!G23),(NºAsuntos!C23+NºAsuntos!E23)/NºAsuntos!G23," - ")</f>
        <v>1.3306122448979592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0.93686671862821513</v>
      </c>
      <c r="C31" s="1099">
        <f>IF(ISNUMBER(NºAsuntos!I31/NºAsuntos!G31),NºAsuntos!I31/NºAsuntos!G31," - ")</f>
        <v>0.52329450915141429</v>
      </c>
      <c r="D31" s="1100">
        <f>IF(ISNUMBER('Resol  Asuntos'!D31/NºAsuntos!G31),'Resol  Asuntos'!D31/NºAsuntos!G31," - ")</f>
        <v>0.12895174708818635</v>
      </c>
      <c r="E31" s="1101">
        <f>IF(ISNUMBER((NºAsuntos!C31+NºAsuntos!E31)/NºAsuntos!G31),(NºAsuntos!C31+NºAsuntos!E31)/NºAsuntos!G31," - ")</f>
        <v>1.6198003327787021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ApIZvVoQKz7iDjwGCkzm1RSUH8PWnG9BeU0YCg/PjPHYjNG92F7udnGktzRzUJ72bCzhjvG5XVPnjBwd5mmLQ==" saltValue="2qhO9Cax4Om8JdkbxBNF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MONTIJO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1.8333333333333333</v>
      </c>
      <c r="AN10" s="267">
        <f>IF(ISNUMBER('Resol  Asuntos'!D10/NºAsuntos!G10),'Resol  Asuntos'!D10/NºAsuntos!G10," - ")</f>
        <v>0.58333333333333337</v>
      </c>
      <c r="AO10" s="268">
        <f>IF(ISNUMBER((NºAsuntos!C10+NºAsuntos!E10)/NºAsuntos!G10),(NºAsuntos!C10+NºAsuntos!E10)/NºAsuntos!G10," - ")</f>
        <v>1.1666666666666667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261</v>
      </c>
      <c r="Y12" s="374">
        <f t="shared" si="0"/>
        <v>261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176</v>
      </c>
      <c r="AJ12" s="243" t="str">
        <f>IF(ISNUMBER(Datos!BW12),Datos!BW12," - ")</f>
        <v xml:space="preserve"> - </v>
      </c>
      <c r="AK12" s="242" t="str">
        <f>IF(ISNUMBER(Datos!BX12),Datos!BX12," - ")</f>
        <v xml:space="preserve"> - </v>
      </c>
      <c r="AL12" s="266">
        <f>IF(ISNUMBER(NºAsuntos!G12/NºAsuntos!E12),NºAsuntos!G12/NºAsuntos!E12," - ")</f>
        <v>0.86765799256505571</v>
      </c>
      <c r="AM12" s="284">
        <f>IF(ISNUMBER(((NºAsuntos!I12/NºAsuntos!G12)*11)/factor_trimestre),((NºAsuntos!I12/NºAsuntos!G12)*11)/factor_trimestre," - ")</f>
        <v>8.85089974293059</v>
      </c>
      <c r="AN12" s="267">
        <f>IF(ISNUMBER('Resol  Asuntos'!D12/NºAsuntos!G12),'Resol  Asuntos'!D12/NºAsuntos!G12," - ")</f>
        <v>0.15081405312767782</v>
      </c>
      <c r="AO12" s="268">
        <f>IF(ISNUMBER((NºAsuntos!C12+NºAsuntos!E12)/NºAsuntos!G12),(NºAsuntos!C12+NºAsuntos!E12)/NºAsuntos!G12," - ")</f>
        <v>1.9280205655526992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261</v>
      </c>
      <c r="Y14" s="1165">
        <f t="shared" si="6"/>
        <v>273</v>
      </c>
      <c r="Z14" s="1165">
        <f t="shared" si="6"/>
        <v>0</v>
      </c>
      <c r="AA14" s="1165">
        <f t="shared" si="6"/>
        <v>2</v>
      </c>
      <c r="AB14" s="1165">
        <f t="shared" si="6"/>
        <v>1404</v>
      </c>
      <c r="AC14" s="1165">
        <f t="shared" si="6"/>
        <v>2</v>
      </c>
      <c r="AD14" s="1165">
        <f t="shared" si="6"/>
        <v>0</v>
      </c>
      <c r="AE14" s="1169">
        <f t="shared" si="6"/>
        <v>0</v>
      </c>
      <c r="AF14" s="1162">
        <f t="shared" si="6"/>
        <v>0</v>
      </c>
      <c r="AG14" s="1170">
        <f t="shared" si="6"/>
        <v>0</v>
      </c>
      <c r="AH14" s="1167">
        <f t="shared" si="6"/>
        <v>0</v>
      </c>
      <c r="AI14" s="1162">
        <f t="shared" si="6"/>
        <v>183</v>
      </c>
      <c r="AJ14" s="1164">
        <f t="shared" si="6"/>
        <v>0</v>
      </c>
      <c r="AK14" s="1167">
        <f>SUBTOTAL(9,AK9:AK13)</f>
        <v>0</v>
      </c>
      <c r="AL14" s="1171">
        <f>IF(ISNUMBER(NºAsuntos!G14/NºAsuntos!E14),NºAsuntos!G14/NºAsuntos!E14," - ")</f>
        <v>0.86882829771554904</v>
      </c>
      <c r="AM14" s="1171">
        <f>IF(ISNUMBER(((NºAsuntos!I14/NºAsuntos!G14)*11)/factor_trimestre),((NºAsuntos!I14/NºAsuntos!G14)*11)/factor_trimestre," - ")</f>
        <v>8.7794741306191693</v>
      </c>
      <c r="AN14" s="1172">
        <f>IF(ISNUMBER('Resol  Asuntos'!D14/NºAsuntos!G14),'Resol  Asuntos'!D14/NºAsuntos!G14," - ")</f>
        <v>0.15521628498727735</v>
      </c>
      <c r="AO14" s="1173">
        <f>IF(ISNUMBER((NºAsuntos!C14+NºAsuntos!E14)/NºAsuntos!G14),(NºAsuntos!C14+NºAsuntos!E14)/NºAsuntos!G14," - ")</f>
        <v>1.9202714164546226</v>
      </c>
      <c r="AP14" s="1174" t="str">
        <f t="shared" si="2"/>
        <v xml:space="preserve"> - </v>
      </c>
      <c r="AQ14" s="1174">
        <f>IF(ISNUMBER((H14-W14+K14)/(F14)),(H14-W14+K14)/(F14)," - ")</f>
        <v>-6</v>
      </c>
      <c r="AR14" s="1175">
        <f>IF(ISNUMBER((Datos!P14-Datos!Q14)/(Datos!R14-Datos!P14+Datos!Q14)),(Datos!P14-Datos!Q14)/(Datos!R14-Datos!P14+Datos!Q14)," - ")</f>
        <v>5.3263315828957242E-2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279</v>
      </c>
      <c r="G17" s="373">
        <f>IF(ISNUMBER(IF(D_I="SI",Datos!I17,Datos!I17+Datos!AC17)),IF(D_I="SI",Datos!I17,Datos!I17+Datos!AC17)," - ")</f>
        <v>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1066</v>
      </c>
      <c r="X17" s="240">
        <f>IF(ISNUMBER(Datos!Q17),Datos!Q17," - ")</f>
        <v>42</v>
      </c>
      <c r="Y17" s="374">
        <f t="shared" ref="Y17:Y22" si="9">SUM(W17:X17)</f>
        <v>1108</v>
      </c>
      <c r="Z17" s="375" t="str">
        <f>IF(ISNUMBER(Datos!CC17),Datos!CC17," - ")</f>
        <v xml:space="preserve"> - </v>
      </c>
      <c r="AA17" s="372">
        <f>IF(ISNUMBER(IF(D_I="SI",Datos!L17,Datos!L17+Datos!AF17)),IF(D_I="SI",Datos!L17,Datos!L17+Datos!AF17)," - ")</f>
        <v>272</v>
      </c>
      <c r="AB17" s="374">
        <f>IF(ISNUMBER(Datos!R17),Datos!R17," - ")</f>
        <v>54</v>
      </c>
      <c r="AC17" s="374">
        <f t="shared" si="8"/>
        <v>326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119</v>
      </c>
      <c r="AJ17" s="245" t="str">
        <f>IF(ISNUMBER(Datos!BW17),Datos!BW17," - ")</f>
        <v xml:space="preserve"> - </v>
      </c>
      <c r="AK17" s="246" t="str">
        <f>IF(ISNUMBER(Datos!BX17),Datos!BX17," - ")</f>
        <v xml:space="preserve"> - </v>
      </c>
      <c r="AL17" s="266">
        <f>IF(ISNUMBER(NºAsuntos!G17/NºAsuntos!E17),NºAsuntos!G17/NºAsuntos!E17," - ")</f>
        <v>1.0066100094428707</v>
      </c>
      <c r="AM17" s="284">
        <f>IF(ISNUMBER(((NºAsuntos!I17/NºAsuntos!G17)*11)/factor_trimestre),((NºAsuntos!I17/NºAsuntos!G17)*11)/factor_trimestre," - ")</f>
        <v>2.8067542213883674</v>
      </c>
      <c r="AN17" s="267">
        <f>IF(ISNUMBER('Resol  Asuntos'!D17/NºAsuntos!G17),'Resol  Asuntos'!D17/NºAsuntos!G17," - ")</f>
        <v>0.11163227016885553</v>
      </c>
      <c r="AO17" s="268">
        <f>IF(ISNUMBER((NºAsuntos!C17+NºAsuntos!E17)/NºAsuntos!G17),(NºAsuntos!C17+NºAsuntos!E17)/NºAsuntos!G17," - ")</f>
        <v>1.3367729831144466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159</v>
      </c>
      <c r="X18" s="240">
        <f>IF(ISNUMBER(Datos!Q18),Datos!Q18," - ")</f>
        <v>0</v>
      </c>
      <c r="Y18" s="374">
        <f t="shared" si="9"/>
        <v>159</v>
      </c>
      <c r="Z18" s="375" t="str">
        <f>IF(ISNUMBER(Datos!CC18),Datos!CC18," - ")</f>
        <v xml:space="preserve"> - </v>
      </c>
      <c r="AA18" s="372">
        <f>IF(ISNUMBER(Datos!L18),Datos!L18,"-")</f>
        <v>45</v>
      </c>
      <c r="AB18" s="374">
        <f>IF(ISNUMBER(Datos!R18),Datos!R18," - ")</f>
        <v>1</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1.06</v>
      </c>
      <c r="AM18" s="284">
        <f>IF(ISNUMBER(((NºAsuntos!I18/NºAsuntos!G18)*11)/factor_trimestre),((NºAsuntos!I18/NºAsuntos!G18)*11)/factor_trimestre," - ")</f>
        <v>3.1132075471698113</v>
      </c>
      <c r="AN18" s="267">
        <f>IF(ISNUMBER('Resol  Asuntos'!D18/NºAsuntos!G18),'Resol  Asuntos'!D18/NºAsuntos!G18," - ")</f>
        <v>5.0314465408805034E-2</v>
      </c>
      <c r="AO18" s="268">
        <f>IF(ISNUMBER((NºAsuntos!C18+NºAsuntos!E18)/NºAsuntos!G18),(NºAsuntos!C18+NºAsuntos!E18)/NºAsuntos!G18," - ")</f>
        <v>1.2893081761006289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279</v>
      </c>
      <c r="G23" s="1163">
        <f>SUBTOTAL(9,G16:G22)</f>
        <v>421</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1225</v>
      </c>
      <c r="X23" s="1164">
        <f t="shared" si="14"/>
        <v>42</v>
      </c>
      <c r="Y23" s="1165">
        <f t="shared" si="14"/>
        <v>1267</v>
      </c>
      <c r="Z23" s="1165">
        <f t="shared" si="14"/>
        <v>0</v>
      </c>
      <c r="AA23" s="1165">
        <f t="shared" si="14"/>
        <v>317</v>
      </c>
      <c r="AB23" s="1165">
        <f t="shared" si="14"/>
        <v>55</v>
      </c>
      <c r="AC23" s="1165">
        <f t="shared" si="14"/>
        <v>372</v>
      </c>
      <c r="AD23" s="1165">
        <f t="shared" si="14"/>
        <v>0</v>
      </c>
      <c r="AE23" s="1169">
        <f t="shared" si="14"/>
        <v>0</v>
      </c>
      <c r="AF23" s="1162">
        <f t="shared" si="14"/>
        <v>0</v>
      </c>
      <c r="AG23" s="1170">
        <f t="shared" si="14"/>
        <v>0</v>
      </c>
      <c r="AH23" s="1167">
        <f t="shared" si="14"/>
        <v>0</v>
      </c>
      <c r="AI23" s="1162">
        <f t="shared" si="14"/>
        <v>127</v>
      </c>
      <c r="AJ23" s="1164">
        <f t="shared" si="14"/>
        <v>0</v>
      </c>
      <c r="AK23" s="1167">
        <f t="shared" si="14"/>
        <v>0</v>
      </c>
      <c r="AL23" s="1171">
        <f>IF(ISNUMBER(NºAsuntos!G23/NºAsuntos!E23),NºAsuntos!G23/NºAsuntos!E23," - ")</f>
        <v>1.0132340777502067</v>
      </c>
      <c r="AM23" s="1171">
        <f>IF(ISNUMBER(((NºAsuntos!I23/NºAsuntos!G23)*11)/factor_trimestre),((NºAsuntos!I23/NºAsuntos!G23)*11)/factor_trimestre," - ")</f>
        <v>2.8465306122448979</v>
      </c>
      <c r="AN23" s="1172">
        <f>IF(ISNUMBER('Resol  Asuntos'!D23/NºAsuntos!G23),'Resol  Asuntos'!D23/NºAsuntos!G23," - ")</f>
        <v>0.1036734693877551</v>
      </c>
      <c r="AO23" s="1173">
        <f>IF(ISNUMBER((NºAsuntos!C23+NºAsuntos!E23)/NºAsuntos!G23),(NºAsuntos!C23+NºAsuntos!E23)/NºAsuntos!G23," - ")</f>
        <v>1.3306122448979592</v>
      </c>
      <c r="AP23" s="1174" t="str">
        <f t="shared" si="2"/>
        <v xml:space="preserve"> - </v>
      </c>
      <c r="AQ23" s="1174">
        <f>IF(ISNUMBER((H23-W23+K23)/(F23)),(H23-W23+K23)/(F23)," - ")</f>
        <v>-4.3906810035842296</v>
      </c>
      <c r="AR23" s="1175">
        <f>IF(ISNUMBER((Datos!P23-Datos!Q23)/(Datos!R23-Datos!P23+Datos!Q23)),(Datos!P23-Datos!Q23)/(Datos!R23-Datos!P23+Datos!Q23)," - ")</f>
        <v>-1.7857142857142856E-2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281</v>
      </c>
      <c r="G31" s="1118">
        <f t="shared" si="20"/>
        <v>423</v>
      </c>
      <c r="H31" s="1117">
        <f t="shared" si="20"/>
        <v>0</v>
      </c>
      <c r="I31" s="1119">
        <f t="shared" si="20"/>
        <v>0</v>
      </c>
      <c r="J31" s="1119">
        <f t="shared" si="20"/>
        <v>0</v>
      </c>
      <c r="K31" s="1180">
        <f t="shared" si="20"/>
        <v>0</v>
      </c>
      <c r="L31" s="1119">
        <f t="shared" si="20"/>
        <v>373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1237</v>
      </c>
      <c r="X31" s="1118">
        <f t="shared" si="21"/>
        <v>303</v>
      </c>
      <c r="Y31" s="1125">
        <f t="shared" si="21"/>
        <v>1540</v>
      </c>
      <c r="Z31" s="1125">
        <f t="shared" si="21"/>
        <v>0</v>
      </c>
      <c r="AA31" s="1125">
        <f t="shared" si="21"/>
        <v>319</v>
      </c>
      <c r="AB31" s="1125">
        <f t="shared" si="21"/>
        <v>1459</v>
      </c>
      <c r="AC31" s="1125">
        <f t="shared" si="21"/>
        <v>374</v>
      </c>
      <c r="AD31" s="1125">
        <f t="shared" si="21"/>
        <v>0</v>
      </c>
      <c r="AE31" s="1127">
        <f t="shared" si="21"/>
        <v>0</v>
      </c>
      <c r="AF31" s="1128">
        <f t="shared" si="21"/>
        <v>0</v>
      </c>
      <c r="AG31" s="1129">
        <f t="shared" si="21"/>
        <v>0</v>
      </c>
      <c r="AH31" s="1127">
        <f t="shared" si="21"/>
        <v>0</v>
      </c>
      <c r="AI31" s="1117">
        <f t="shared" si="21"/>
        <v>310</v>
      </c>
      <c r="AJ31" s="1117">
        <f t="shared" si="21"/>
        <v>0</v>
      </c>
      <c r="AK31" s="1127">
        <f t="shared" si="21"/>
        <v>0</v>
      </c>
      <c r="AL31" s="1183">
        <f>IF(ISNUMBER(NºAsuntos!G31/NºAsuntos!E31),NºAsuntos!G31/NºAsuntos!E31," - ")</f>
        <v>0.93686671862821513</v>
      </c>
      <c r="AM31" s="1184">
        <f>IF(ISNUMBER(((NºAsuntos!I31/NºAsuntos!G31)*11)/factor_trimestre),((NºAsuntos!I31/NºAsuntos!G31)*11)/factor_trimestre," - ")</f>
        <v>5.7562396006655572</v>
      </c>
      <c r="AN31" s="1184">
        <f>IF(ISNUMBER('Resol  Asuntos'!D31/NºAsuntos!G31),'Resol  Asuntos'!D31/NºAsuntos!G31," - ")</f>
        <v>0.12895174708818635</v>
      </c>
      <c r="AO31" s="1185">
        <f>IF(ISNUMBER((NºAsuntos!C31+NºAsuntos!E31)/NºAsuntos!G31),(NºAsuntos!C31+NºAsuntos!E31)/NºAsuntos!G31," - ")</f>
        <v>1.6198003327787021</v>
      </c>
      <c r="AP31" s="1186" t="str">
        <f t="shared" si="2"/>
        <v xml:space="preserve"> - </v>
      </c>
      <c r="AQ31" s="1187">
        <f>IF(OR(ISNUMBER(FIND("01",Criterios!A8,1)),ISNUMBER(FIND("02",Criterios!A8,1)),ISNUMBER(FIND("03",Criterios!A8,1)),ISNUMBER(FIND("04",Criterios!A8,1))),(I31-W31+K31)/(F31-K31),(H31-W31+K31)/(F31-K31))</f>
        <v>-4.4021352313167261</v>
      </c>
      <c r="AR31" s="1188">
        <f>IF(ISNUMBER((Datos!P31-Datos!Q31)/(Datos!R31-Datos!P31+Datos!Q31)),(Datos!P31-Datos!Q31)/(Datos!R31-Datos!P31+Datos!Q31)," - ")</f>
        <v>5.03959683225342E-2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143.56136899133648</v>
      </c>
      <c r="G33" s="277">
        <f>IF(ISNUMBER(STDEV(G8:G30)),STDEV(G8:G30),"-")</f>
        <v>187.96491567260506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545.91936435791717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81.781940025201862</v>
      </c>
      <c r="AJ33" s="276">
        <f t="shared" si="25"/>
        <v>0</v>
      </c>
      <c r="AK33" s="278">
        <f t="shared" si="25"/>
        <v>0</v>
      </c>
      <c r="AL33" s="273">
        <f t="shared" si="25"/>
        <v>8.113794888256852E-2</v>
      </c>
      <c r="AM33" s="274">
        <f t="shared" si="25"/>
        <v>3.2133266958542781</v>
      </c>
      <c r="AN33" s="274">
        <f t="shared" si="25"/>
        <v>0.19520499813710873</v>
      </c>
      <c r="AO33" s="275">
        <f t="shared" si="25"/>
        <v>0.33779673179650149</v>
      </c>
      <c r="AP33" s="317" t="str">
        <f t="shared" si="25"/>
        <v>-</v>
      </c>
      <c r="AQ33" s="318">
        <f t="shared" si="25"/>
        <v>1.1379603754579148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ljkCVrUQkusiWUGTbVsCeMnKmnr0gC8fi23PblQZPN5+5Rr0e9HEk7252PXVXganqxbhRxuXypN/E/3GnwKg==" saltValue="tEGM60rQn6sxZXjfAhbt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MONTIJO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1</v>
      </c>
      <c r="F10" s="393">
        <f>IF(ISNUMBER((Datos!K10-Datos!U10)/Datos!U10),(Datos!K10-Datos!U10)/Datos!U10," - ")</f>
        <v>0</v>
      </c>
      <c r="G10" s="394">
        <f>IF(ISNUMBER((Datos!L10-Datos!V10)/Datos!V10),(Datos!L10-Datos!V10)/Datos!V10," - ")</f>
        <v>0</v>
      </c>
      <c r="H10" s="244">
        <f>IF(ISNUMBER((Datos!M10-Datos!W10)/Datos!W10),(Datos!M10-Datos!W10)/Datos!W10," - ")</f>
        <v>-0.3</v>
      </c>
      <c r="I10" s="395">
        <f>IF(ISNUMBER((Tasas!C10-Datos!BE10)/Datos!BE10),(Tasas!C10-Datos!BE10)/Datos!BE10," - ")</f>
        <v>0</v>
      </c>
      <c r="J10" s="394">
        <f>IF(ISNUMBER((Tasas!D10-Datos!BF10)/Datos!BF10),(Tasas!D10-Datos!BF10)/Datos!BF10," - ")</f>
        <v>-0.3</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-0.33834586466165412</v>
      </c>
      <c r="I12" s="395">
        <f>IF(ISNUMBER((Tasas!C12-Datos!BE12)/Datos!BE12),(Tasas!C12-Datos!BE12)/Datos!BE12," - ")</f>
        <v>1.8009061341589857E-2</v>
      </c>
      <c r="J12" s="394">
        <f>IF(ISNUMBER((Tasas!D12-Datos!BF12)/Datos!BF12),(Tasas!D12-Datos!BF12)/Datos!BF12," - ")</f>
        <v>-0.61195035768271666</v>
      </c>
      <c r="K12" s="396">
        <f>IF(ISNUMBER((Tasas!E12-Datos!BG12)/Datos!BG12),(Tasas!E12-Datos!BG12)/Datos!BG12," - ")</f>
        <v>6.749687986355922E-2</v>
      </c>
      <c r="M12" t="e">
        <f>IF(Monitorios="SI",Datos!CE12,0)</f>
        <v>#REF!</v>
      </c>
      <c r="N12" t="e">
        <f>IF(Monitorios="SI",Datos!CF12,0)</f>
        <v>#REF!</v>
      </c>
      <c r="O12" t="e">
        <f>IF(Monitorios="SI",Datos!CG12,0)</f>
        <v>#REF!</v>
      </c>
      <c r="P12" t="e">
        <f>IF(Monitorios="SI",Datos!CH12,0)</f>
        <v>#REF!</v>
      </c>
      <c r="Q12">
        <f>IF(J_V="SI",0,Datos!AG12)</f>
        <v>25</v>
      </c>
      <c r="R12">
        <f>IF(J_V="SI",0,Datos!AH12)</f>
        <v>146</v>
      </c>
      <c r="S12">
        <f>IF(J_V="SI",0,Datos!AI12)</f>
        <v>113</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-0.33695652173913043</v>
      </c>
      <c r="I14" s="402">
        <f>IF(ISNUMBER((Tasas!C14-Datos!BE14)/Datos!BE14),(Tasas!C14-Datos!BE14)/Datos!BE14," - ")</f>
        <v>1.8126848664566292E-2</v>
      </c>
      <c r="J14" s="400">
        <f>IF(ISNUMBER((Tasas!D14-Datos!BF14)/Datos!BF14),(Tasas!D14-Datos!BF14)/Datos!BF14," - ")</f>
        <v>-0.60530716103235194</v>
      </c>
      <c r="K14" s="403">
        <f>IF(ISNUMBER((Tasas!E14-Datos!BG14)/Datos!BG14),(Tasas!E14-Datos!BG14)/Datos!BG14," - ")</f>
        <v>6.7124893774254762E-2</v>
      </c>
      <c r="M14" t="e">
        <f>IF(Monitorios="SI",Datos!CE14,0)</f>
        <v>#REF!</v>
      </c>
      <c r="N14" t="e">
        <f>IF(Monitorios="SI",Datos!CF14,0)</f>
        <v>#REF!</v>
      </c>
      <c r="O14" t="e">
        <f>IF(Monitorios="SI",Datos!CG14,0)</f>
        <v>#REF!</v>
      </c>
      <c r="P14" t="e">
        <f>IF(Monitorios="SI",Datos!CH14,0)</f>
        <v>#REF!</v>
      </c>
      <c r="Q14">
        <f>IF(J_V="SI",0,Datos!AG14)</f>
        <v>25</v>
      </c>
      <c r="R14">
        <f>IF(J_V="SI",0,Datos!AH14)</f>
        <v>146</v>
      </c>
      <c r="S14">
        <f>IF(J_V="SI",0,Datos!AI14)</f>
        <v>113</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-5.4263565891472867E-2</v>
      </c>
      <c r="E17" s="393">
        <f>IF(ISNUMBER(
   IF(D_I="SI",(Datos!J17-Datos!T17)/Datos!T17,(Datos!J17+Datos!AD17-(Datos!T17+Datos!AL17))/(Datos!T17+Datos!AL17))
     ),IF(D_I="SI",(Datos!J17-Datos!T17)/Datos!T17,(Datos!J17+Datos!AD17-(Datos!T17+Datos!AL17))/(Datos!T17+Datos!AL17))," - ")</f>
        <v>4.4378698224852069E-2</v>
      </c>
      <c r="F17" s="393">
        <f>IF(ISNUMBER(
   IF(D_I="SI",(Datos!K17-Datos!U17)/Datos!U17,(Datos!K17+Datos!AE17-(Datos!U17+Datos!AM17))/(Datos!U17+Datos!AM17))
     ),IF(D_I="SI",(Datos!K17-Datos!U17)/Datos!U17,(Datos!K17+Datos!AE17-(Datos!U17+Datos!AM17))/(Datos!U17+Datos!AM17))," - ")</f>
        <v>2.9951690821256038E-2</v>
      </c>
      <c r="G17" s="394">
        <f>IF(ISNUMBER(
   IF(D_I="SI",(Datos!L17-Datos!V17)/Datos!V17,(Datos!L17+Datos!AF17-(Datos!V17+Datos!AN17))/(Datos!V17+Datos!AN17))
     ),IF(D_I="SI",(Datos!L17-Datos!V17)/Datos!V17,(Datos!L17+Datos!AF17-(Datos!V17+Datos!AN17))/(Datos!V17+Datos!AN17))," - ")</f>
        <v>-0.25683060109289618</v>
      </c>
      <c r="H17" s="244">
        <f>IF(ISNUMBER((Datos!M17-Datos!W17)/Datos!W17),(Datos!M17-Datos!W17)/Datos!W17," - ")</f>
        <v>-0.22727272727272727</v>
      </c>
      <c r="I17" s="395">
        <f>IF(ISNUMBER((Tasas!C17-Datos!BE17)/Datos!BE17),(Tasas!C17-Datos!BE17)/Datos!BE17," - ")</f>
        <v>-0.27844246916617971</v>
      </c>
      <c r="J17" s="394">
        <f>IF(ISNUMBER((Tasas!D17-Datos!BF17)/Datos!BF17),(Tasas!D17-Datos!BF17)/Datos!BF17," - ")</f>
        <v>-0.24974415828074362</v>
      </c>
      <c r="K17" s="396">
        <f>IF(ISNUMBER((Tasas!E17-Datos!BG17)/Datos!BG17),(Tasas!E17-Datos!BG17)/Datos!BG17," - ")</f>
        <v>-1.2448224465772938E-2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0.76666666666666672</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3</v>
      </c>
      <c r="I18" s="395">
        <f>IF(ISNUMBER((Tasas!C18-Datos!BE18)/Datos!BE18),(Tasas!C18-Datos!BE18)/Datos!BE18," - ")</f>
        <v>-0.53687821612349917</v>
      </c>
      <c r="J18" s="394">
        <f>IF(ISNUMBER((Tasas!D18-Datos!BF18)/Datos!BF18),(Tasas!D18-Datos!BF18)/Datos!BF18," - ")</f>
        <v>1.2641509433962264</v>
      </c>
      <c r="K18" s="396">
        <f>IF(ISNUMBER((Tasas!E18-Datos!BG18)/Datos!BG18),(Tasas!E18-Datos!BG18)/Datos!BG18," - ")</f>
        <v>-0.19973975276512693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-2.5462962962962962E-2</v>
      </c>
      <c r="E23" s="399">
        <f>IF(ISNUMBER(
   IF(D_I="SI",(Datos!J23-Datos!T23)/Datos!T23,(Datos!J23+Datos!AD23-(Datos!T23+Datos!AL23))/(Datos!T23+Datos!AL23))
     ),IF(D_I="SI",(Datos!J23-Datos!T23)/Datos!T23,(Datos!J23+Datos!AD23-(Datos!T23+Datos!AL23))/(Datos!T23+Datos!AL23))," - ")</f>
        <v>8.527827648114901E-2</v>
      </c>
      <c r="F23" s="399">
        <f>IF(ISNUMBER(
   IF(D_I="SI",(Datos!K23-Datos!U23)/Datos!U23,(Datos!K23+Datos!AE23-(Datos!U23+Datos!AM23))/(Datos!U23+Datos!AM23))
     ),IF(D_I="SI",(Datos!K23-Datos!U23)/Datos!U23,(Datos!K23+Datos!AE23-(Datos!U23+Datos!AM23))/(Datos!U23+Datos!AM23))," - ")</f>
        <v>8.8888888888888892E-2</v>
      </c>
      <c r="G23" s="400">
        <f>IF(ISNUMBER(
   IF(D_I="SI",(Datos!L23-Datos!V23)/Datos!V23,(Datos!L23+Datos!AF23-(Datos!V23+Datos!AN23))/(Datos!V23+Datos!AN23))
     ),IF(D_I="SI",(Datos!L23-Datos!V23)/Datos!V23,(Datos!L23+Datos!AF23-(Datos!V23+Datos!AN23))/(Datos!V23+Datos!AN23))," - ")</f>
        <v>-0.24703087885985747</v>
      </c>
      <c r="H23" s="401">
        <f>IF(ISNUMBER((Datos!M23-Datos!W23)/Datos!W23),(Datos!M23-Datos!W23)/Datos!W23," - ")</f>
        <v>-0.1858974358974359</v>
      </c>
      <c r="I23" s="402">
        <f>IF(ISNUMBER((Tasas!C23-Datos!BE23)/Datos!BE23),(Tasas!C23-Datos!BE23)/Datos!BE23," - ")</f>
        <v>-0.30849774589170587</v>
      </c>
      <c r="J23" s="400">
        <f>IF(ISNUMBER((Tasas!D23-Datos!BF23)/Datos!BF23),(Tasas!D23-Datos!BF23)/Datos!BF23," - ")</f>
        <v>-0.2523547880690738</v>
      </c>
      <c r="K23" s="403">
        <f>IF(ISNUMBER((Tasas!E23-Datos!BG23)/Datos!BG23),(Tasas!E23-Datos!BG23)/Datos!BG23," - ")</f>
        <v>-3.1734297858858972E-2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-2.4246877296105803E-2</v>
      </c>
      <c r="E31" s="409">
        <f>IF(ISNUMBER(
   IF(J_V="SI",(Datos!J31-Datos!T31)/Datos!T31,(Datos!J31+Datos!Z31-(Datos!T31+Datos!AH31))/(Datos!T31+Datos!AH31))
     ),IF(J_V="SI",(Datos!J31-Datos!T31)/Datos!T31,(Datos!J31+Datos!Z31-(Datos!T31+Datos!AH31))/(Datos!T31+Datos!AH31))," - ")</f>
        <v>0.13189236876929863</v>
      </c>
      <c r="F31" s="409">
        <f>IF(ISNUMBER(
   IF(J_V="SI",(Datos!K31-Datos!U31)/Datos!U31,(Datos!K31+Datos!AA31-(Datos!U31+Datos!AI31))/(Datos!U31+Datos!AI31))
     ),IF(J_V="SI",(Datos!K31-Datos!U31)/Datos!U31,(Datos!K31+Datos!AA31-(Datos!U31+Datos!AI31))/(Datos!U31+Datos!AI31))," - ")</f>
        <v>5.3461875547765117E-2</v>
      </c>
      <c r="G31" s="410">
        <f>IF(ISNUMBER(
   IF(J_V="SI",(Datos!L31-Datos!V31)/Datos!V31,(Datos!L31+Datos!AB31-(Datos!V31+Datos!AJ31))/(Datos!V31+Datos!AJ31))
     ),IF(J_V="SI",(Datos!L31-Datos!V31)/Datos!V31,(Datos!L31+Datos!AB31-(Datos!V31+Datos!AJ31))/(Datos!V31+Datos!AJ31))," - ")</f>
        <v>-5.2710843373493979E-2</v>
      </c>
      <c r="H31" s="411">
        <f>IF(ISNUMBER((Datos!M31-Datos!W31)/Datos!W31),(Datos!M31-Datos!W31)/Datos!W31," - ")</f>
        <v>-0.28240740740740738</v>
      </c>
      <c r="I31" s="408">
        <f>IF(ISNUMBER((Tasas!C31-Datos!BE31)/Datos!BE31),(Tasas!C31-Datos!BE31)/Datos!BE31," - ")</f>
        <v>-0.10078458593107881</v>
      </c>
      <c r="J31" s="409">
        <f>IF(ISNUMBER((Tasas!D31-Datos!BF31)/Datos!BF31),(Tasas!D31-Datos!BF31)/Datos!BF31," - ")</f>
        <v>-0.51838316390304218</v>
      </c>
      <c r="K31" s="410">
        <f>IF(ISNUMBER((Tasas!E31-Datos!BG31)/Datos!BG31),(Tasas!E31-Datos!BG31)/Datos!BG31," - ")</f>
        <v>1.8849051654078804E-2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0.41761634804819064</v>
      </c>
      <c r="E33" s="303">
        <f t="shared" si="1"/>
        <v>0.44545721436659835</v>
      </c>
      <c r="F33" s="303">
        <f t="shared" si="1"/>
        <v>0.36539720181480606</v>
      </c>
      <c r="G33" s="304">
        <f t="shared" si="1"/>
        <v>0.11903068843244478</v>
      </c>
      <c r="H33" s="310">
        <f t="shared" si="1"/>
        <v>1.3395067438175647</v>
      </c>
      <c r="I33" s="302">
        <f t="shared" si="1"/>
        <v>0.22996375856127252</v>
      </c>
      <c r="J33" s="303">
        <f t="shared" si="1"/>
        <v>0.70142095693692508</v>
      </c>
      <c r="K33" s="304">
        <f t="shared" si="1"/>
        <v>9.8110624304267244E-2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VfVL9ZODoS6cUidzTuBX2WQPpjxYLkoT+9UnY7eMQ1xy9HB9usU8ghK/c5CmhUoINbxwmnMgR3VQkYAnRoLZQ==" saltValue="qlJww4zyEkaL8b33QLoJc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